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nputs" sheetId="1" state="visible" r:id="rId3"/>
    <sheet name="Process" sheetId="2" state="visible" r:id="rId4"/>
    <sheet name="Day4" sheetId="3" state="visible" r:id="rId5"/>
    <sheet name="Facility" sheetId="4" state="visible" r:id="rId6"/>
    <sheet name="Ramp" sheetId="5" state="visible" r:id="rId7"/>
    <sheet name="Scenarios" sheetId="6" state="visible" r:id="rId8"/>
    <sheet name="Sizing" sheetId="7" state="visible" r:id="rId9"/>
    <sheet name="Growth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<sst xmlns="http://schemas.openxmlformats.org/spreadsheetml/2006/main" count="1133" uniqueCount="500">
  <si>
    <t xml:space="preserve">RTX-001 (CP-2 'Ruby') capacity model: inputs</t>
  </si>
  <si>
    <t xml:space="preserve">Yellow cells are inputs. Every value has a source. Change Inputs and the other sheets recalculate (except pasted scheduler outputs on the Scenarios sheet).</t>
  </si>
  <si>
    <t xml:space="preserve">Parameter</t>
  </si>
  <si>
    <t xml:space="preserve">Value</t>
  </si>
  <si>
    <t xml:space="preserve">Unit</t>
  </si>
  <si>
    <t xml:space="preserve">Source</t>
  </si>
  <si>
    <t xml:space="preserve">Note</t>
  </si>
  <si>
    <t xml:space="preserve">durations</t>
  </si>
  <si>
    <t xml:space="preserve">made</t>
  </si>
  <si>
    <t xml:space="preserve">made | rtx</t>
  </si>
  <si>
    <t xml:space="preserve">ruby_process.json rules</t>
  </si>
  <si>
    <t xml:space="preserve">made = MADE working estimate (day4model2, to be confirmed at the 28 Sep rehearsal); rtx = RTx-stated hours</t>
  </si>
  <si>
    <t xml:space="preserve">max_hold_h</t>
  </si>
  <si>
    <t xml:space="preserve">h</t>
  </si>
  <si>
    <t xml:space="preserve">day4model2.js MAX_HOLD</t>
  </si>
  <si>
    <t xml:space="preserve">max wait between Day-4 steps</t>
  </si>
  <si>
    <t xml:space="preserve">recovery_h</t>
  </si>
  <si>
    <t xml:space="preserve">ruby_process.json D4.7</t>
  </si>
  <si>
    <t xml:space="preserve">window 2-6 h per pre-briefing</t>
  </si>
  <si>
    <t xml:space="preserve">d0_prodigy_h</t>
  </si>
  <si>
    <t xml:space="preserve">ruby_process.json D0.1+D0.3+D0.4+D0.5</t>
  </si>
  <si>
    <t xml:space="preserve">Prodigy occupancy per start</t>
  </si>
  <si>
    <t xml:space="preserve">staffed_hours_per_day</t>
  </si>
  <si>
    <t xml:space="preserve">MADE: 2 x 12 h shifts</t>
  </si>
  <si>
    <t xml:space="preserve">used for the Prodigy 24-h bound</t>
  </si>
  <si>
    <t xml:space="preserve">bags_per_batch</t>
  </si>
  <si>
    <t xml:space="preserve">bags</t>
  </si>
  <si>
    <t xml:space="preserve">ruby_process.json C3</t>
  </si>
  <si>
    <t xml:space="preserve">up to 10 MACS1000</t>
  </si>
  <si>
    <t xml:space="preserve">bags_per_shelf</t>
  </si>
  <si>
    <t xml:space="preserve">Made to Resolve deck s45</t>
  </si>
  <si>
    <t xml:space="preserve">alternative 4 (DS pack s19), 8 (estimate)</t>
  </si>
  <si>
    <t xml:space="preserve">shelves_per_incubator</t>
  </si>
  <si>
    <t xml:space="preserve">shelves</t>
  </si>
  <si>
    <t xml:space="preserve">deck s45</t>
  </si>
  <si>
    <t xml:space="preserve">DS pack s19 uses 2 usable shelves</t>
  </si>
  <si>
    <t xml:space="preserve">share_incubators</t>
  </si>
  <si>
    <t xml:space="preserve">0 | 1</t>
  </si>
  <si>
    <t xml:space="preserve">MADE assumption</t>
  </si>
  <si>
    <t xml:space="preserve">0 = whole incubator per batch (deck s45: 1 per batch); 1 = shelf sharing (DS pack: 1.5 per batch at 4/shelf, 2 shelves)</t>
  </si>
  <si>
    <t xml:space="preserve">recovery_bags</t>
  </si>
  <si>
    <t xml:space="preserve">ruby_process.json D4.6</t>
  </si>
  <si>
    <t xml:space="preserve">up to 4 MACS bags for recovery</t>
  </si>
  <si>
    <t xml:space="preserve">culture_days</t>
  </si>
  <si>
    <t xml:space="preserve">days</t>
  </si>
  <si>
    <t xml:space="preserve">ruby_process.json C4</t>
  </si>
  <si>
    <t xml:space="preserve">4-day conversion (was 5)</t>
  </si>
  <si>
    <t xml:space="preserve">occupancy_days</t>
  </si>
  <si>
    <t xml:space="preserve">deck s45 (incubators = starts/week)</t>
  </si>
  <si>
    <t xml:space="preserve">4 culture days plus D0 evening and D4 morning</t>
  </si>
  <si>
    <t xml:space="preserve">qc_h_per_lot</t>
  </si>
  <si>
    <t xml:space="preserve">Bid Defense Supplementary QC appendix (Jan 2026)</t>
  </si>
  <si>
    <t xml:space="preserve">QC hours per lot precedent</t>
  </si>
  <si>
    <t xml:space="preserve">qc_fte_h_per_week</t>
  </si>
  <si>
    <t xml:space="preserve">implied by the QC FTE table (945 h/wk -&gt; 25 FTE)</t>
  </si>
  <si>
    <t xml:space="preserve">fte_rule</t>
  </si>
  <si>
    <t xml:space="preserve">FTE per weekly start</t>
  </si>
  <si>
    <t xml:space="preserve">SME_Capacity_Tool_With_Pivotal_25Jan2026.xlsx</t>
  </si>
  <si>
    <t xml:space="preserve">Mfg FTE = ROUNDUP(starts/week x 0.8)</t>
  </si>
  <si>
    <t xml:space="preserve">fte_h_per_week</t>
  </si>
  <si>
    <t xml:space="preserve">hours-based cross-check</t>
  </si>
  <si>
    <t xml:space="preserve">operating_days_a</t>
  </si>
  <si>
    <t xml:space="preserve">days/yr</t>
  </si>
  <si>
    <t xml:space="preserve">V3 proposal (2,500 patients/yr = 10 starts/day)</t>
  </si>
  <si>
    <t xml:space="preserve">basis A</t>
  </si>
  <si>
    <t xml:space="preserve">operating_days_b</t>
  </si>
  <si>
    <t xml:space="preserve">SME tool (48 weeks x 7 days)</t>
  </si>
  <si>
    <t xml:space="preserve">basis B</t>
  </si>
  <si>
    <t xml:space="preserve">weeks_per_year</t>
  </si>
  <si>
    <t xml:space="preserve">weeks</t>
  </si>
  <si>
    <t xml:space="preserve">SME tool</t>
  </si>
  <si>
    <t xml:space="preserve">day_start_clock</t>
  </si>
  <si>
    <t xml:space="preserve">h (24-h clock)</t>
  </si>
  <si>
    <t xml:space="preserve">day4model2.js clock()</t>
  </si>
  <si>
    <t xml:space="preserve">first harvest at 06:00</t>
  </si>
  <si>
    <t xml:space="preserve">pivotal_patients</t>
  </si>
  <si>
    <t xml:space="preserve">patients</t>
  </si>
  <si>
    <t xml:space="preserve">ruby_process.json volumes</t>
  </si>
  <si>
    <t xml:space="preserve">15 months, 216 possible starts</t>
  </si>
  <si>
    <t xml:space="preserve">pivotal_starts_per_week_peak</t>
  </si>
  <si>
    <t xml:space="preserve">starts/wk</t>
  </si>
  <si>
    <t xml:space="preserve">ruby_process.json M6-15</t>
  </si>
  <si>
    <t xml:space="preserve">Tue/Wed apheresis</t>
  </si>
  <si>
    <t xml:space="preserve">sizing_prodigy_anchor</t>
  </si>
  <si>
    <t xml:space="preserve">Prodigy</t>
  </si>
  <si>
    <t xml:space="preserve">Made to Resolve deck s45 (10 Prodigy at 10 starts/day)</t>
  </si>
  <si>
    <t xml:space="preserve">Sizing sheet, equipment-led driver</t>
  </si>
  <si>
    <t xml:space="preserve">sizing_patients_per_year</t>
  </si>
  <si>
    <t xml:space="preserve">patients/yr</t>
  </si>
  <si>
    <t xml:space="preserve">V3 proposal ramp year 3</t>
  </si>
  <si>
    <t xml:space="preserve">Sizing sheet, demand-led driver</t>
  </si>
  <si>
    <t xml:space="preserve">sizing_demand_days</t>
  </si>
  <si>
    <t xml:space="preserve">V3 (250) or SME tool (336)</t>
  </si>
  <si>
    <t xml:space="preserve">operating-day basis for the demand-led driver and the Growth sheet</t>
  </si>
  <si>
    <t xml:space="preserve">sizing_driver</t>
  </si>
  <si>
    <t xml:space="preserve">equipment</t>
  </si>
  <si>
    <t xml:space="preserve">equipment | demand</t>
  </si>
  <si>
    <t xml:space="preserve">MADE</t>
  </si>
  <si>
    <t xml:space="preserve">which driver sets starts/day on the Sizing sheet</t>
  </si>
  <si>
    <t xml:space="preserve">day0_window_h</t>
  </si>
  <si>
    <t xml:space="preserve">deck s45 rule (12 h = 1 run per Prodigy per day); 24 h = 2 runs (s47)</t>
  </si>
  <si>
    <t xml:space="preserve">staffed Day-0 window</t>
  </si>
  <si>
    <t xml:space="preserve">staffed_window_h</t>
  </si>
  <si>
    <t xml:space="preserve">2 shifts x 12 h</t>
  </si>
  <si>
    <t xml:space="preserve">hours each Day-4 unit is available per day</t>
  </si>
  <si>
    <t xml:space="preserve">shifts</t>
  </si>
  <si>
    <t xml:space="preserve">shifts/day</t>
  </si>
  <si>
    <t xml:space="preserve">model default</t>
  </si>
  <si>
    <t xml:space="preserve">shift_h</t>
  </si>
  <si>
    <t xml:space="preserve">target_util</t>
  </si>
  <si>
    <t xml:space="preserve">fraction</t>
  </si>
  <si>
    <t xml:space="preserve">MADE planning assumption</t>
  </si>
  <si>
    <t xml:space="preserve">size every unit to run at no more than this share of its available hours</t>
  </si>
  <si>
    <t xml:space="preserve">Process steps, durations, resources and holds</t>
  </si>
  <si>
    <t xml:space="preserve">Day-4 scheduler blocks map to ruby_process.json sub-steps: rtx_h = sum of the sub-steps' RTx hours; made_h = day4model2 block time (folds set-up and pooling into the block).</t>
  </si>
  <si>
    <t xml:space="preserve">Block / step</t>
  </si>
  <si>
    <t xml:space="preserve">Resource</t>
  </si>
  <si>
    <t xml:space="preserve">ruby_process.json ids</t>
  </si>
  <si>
    <t xml:space="preserve">rtx_h</t>
  </si>
  <si>
    <t xml:space="preserve">made_h</t>
  </si>
  <si>
    <t xml:space="preserve">selected_h</t>
  </si>
  <si>
    <t xml:space="preserve">operators</t>
  </si>
  <si>
    <t xml:space="preserve">hold_before_h</t>
  </si>
  <si>
    <t xml:space="preserve">operator-hours (selected)</t>
  </si>
  <si>
    <t xml:space="preserve">IPC / note</t>
  </si>
  <si>
    <t xml:space="preserve">Buffer and reagent preparation (D-15 to D-1)</t>
  </si>
  <si>
    <t xml:space="preserve">Class A MSC</t>
  </si>
  <si>
    <t xml:space="preserve">days[0]</t>
  </si>
  <si>
    <t xml:space="preserve">prep, one operator assumed</t>
  </si>
  <si>
    <t xml:space="preserve">Equipment set-up</t>
  </si>
  <si>
    <t xml:space="preserve">D0.1</t>
  </si>
  <si>
    <t xml:space="preserve">Cellular starting-material assessment</t>
  </si>
  <si>
    <t xml:space="preserve">NC-202 / FACSLyric</t>
  </si>
  <si>
    <t xml:space="preserve">D0.2</t>
  </si>
  <si>
    <t xml:space="preserve">CD45+ count, %CD14+</t>
  </si>
  <si>
    <t xml:space="preserve">Pre-enrichment prep (loading, priming)</t>
  </si>
  <si>
    <t xml:space="preserve">D0.3</t>
  </si>
  <si>
    <t xml:space="preserve">CD14+ enrichment run (selection + wash)</t>
  </si>
  <si>
    <t xml:space="preserve">D0.4</t>
  </si>
  <si>
    <t xml:space="preserve">CD45+ count post-enrichment</t>
  </si>
  <si>
    <t xml:space="preserve">Monocyte seeding into up to 10 MACS1000 differentiation bags via Prodigy formulation bar</t>
  </si>
  <si>
    <t xml:space="preserve">Prodigy formulation bar</t>
  </si>
  <si>
    <t xml:space="preserve">D0.5</t>
  </si>
  <si>
    <t xml:space="preserve">Cell count end of D0 (NC-202) (TBC)</t>
  </si>
  <si>
    <t xml:space="preserve">Day 0 totals</t>
  </si>
  <si>
    <t xml:space="preserve">Day 4 and Day 4-into-5 scheduler blocks</t>
  </si>
  <si>
    <t xml:space="preserve">Harvest 10x MACS1000</t>
  </si>
  <si>
    <t xml:space="preserve">BSC</t>
  </si>
  <si>
    <t xml:space="preserve">D4.1, D4.2</t>
  </si>
  <si>
    <t xml:space="preserve">none</t>
  </si>
  <si>
    <t xml:space="preserve">Cell count start of D4</t>
  </si>
  <si>
    <t xml:space="preserve">Rotea wash / rebuffer (EP)</t>
  </si>
  <si>
    <t xml:space="preserve">Rotea</t>
  </si>
  <si>
    <t xml:space="preserve">D4.3</t>
  </si>
  <si>
    <t xml:space="preserve">Count after buffer exchange</t>
  </si>
  <si>
    <t xml:space="preserve">Electroporation (Flowfect)</t>
  </si>
  <si>
    <t xml:space="preserve">Flowfect</t>
  </si>
  <si>
    <t xml:space="preserve">D4.4, D4.5</t>
  </si>
  <si>
    <t xml:space="preserve">Counts before / after transfection</t>
  </si>
  <si>
    <t xml:space="preserve">Recovery culture (transfer + hold)</t>
  </si>
  <si>
    <t xml:space="preserve">Incubator</t>
  </si>
  <si>
    <t xml:space="preserve">D4.6, D4.7</t>
  </si>
  <si>
    <t xml:space="preserve">recovery_h from Inputs replaces the 4.0 h hold</t>
  </si>
  <si>
    <t xml:space="preserve">Rotea wash / concentrate</t>
  </si>
  <si>
    <t xml:space="preserve">D4.8, D4.9, D4.10, D4.11</t>
  </si>
  <si>
    <t xml:space="preserve">Post-Rotea count, TruCount</t>
  </si>
  <si>
    <t xml:space="preserve">Formulation + fill (Ares X20)</t>
  </si>
  <si>
    <t xml:space="preserve">Ares</t>
  </si>
  <si>
    <t xml:space="preserve">D4.12, D4.13</t>
  </si>
  <si>
    <t xml:space="preserve">QC samples taken here</t>
  </si>
  <si>
    <t xml:space="preserve">VI / label / cassette</t>
  </si>
  <si>
    <t xml:space="preserve">VI</t>
  </si>
  <si>
    <t xml:space="preserve">D4.14</t>
  </si>
  <si>
    <t xml:space="preserve">USP &lt;790&gt;</t>
  </si>
  <si>
    <t xml:space="preserve">Controlled-rate freeze</t>
  </si>
  <si>
    <t xml:space="preserve">CRF</t>
  </si>
  <si>
    <t xml:space="preserve">D4.15</t>
  </si>
  <si>
    <t xml:space="preserve">CRF mapping/validation pending (C8)</t>
  </si>
  <si>
    <t xml:space="preserve">Day 4 totals (single batch, sequential)</t>
  </si>
  <si>
    <t xml:space="preserve">Day 4 single-batch sequential timeline (formulas)</t>
  </si>
  <si>
    <t xml:space="preserve">Start = previous end; clock from Inputs day_start_clock. Duration set follows Inputs!durations. Compare: RTx PFD ~20 h; MADE estimate 12.0 h; Vertical sheet 17 h.</t>
  </si>
  <si>
    <t xml:space="preserve">Block</t>
  </si>
  <si>
    <t xml:space="preserve">Duration (h)</t>
  </si>
  <si>
    <t xml:space="preserve">Start (h from first harvest)</t>
  </si>
  <si>
    <t xml:space="preserve">End (h)</t>
  </si>
  <si>
    <t xml:space="preserve">Start clock</t>
  </si>
  <si>
    <t xml:space="preserve">End clock</t>
  </si>
  <si>
    <t xml:space="preserve">Operators</t>
  </si>
  <si>
    <t xml:space="preserve">Operator-hours</t>
  </si>
  <si>
    <t xml:space="preserve">Max hold before (h)</t>
  </si>
  <si>
    <t xml:space="preserve">Makespan (h)</t>
  </si>
  <si>
    <t xml:space="preserve">Shifts needed (12 h)</t>
  </si>
  <si>
    <t xml:space="preserve">Day 0 Prodigy occupancy (h)</t>
  </si>
  <si>
    <t xml:space="preserve">Operator-hours per batch (prep + Day 0 + Day 4)</t>
  </si>
  <si>
    <t xml:space="preserve">Scheduler reference (day4model2, MADE durations, hold 0.5 h): 2 batches / 1 of each = 19.25 h; 3 batches / 2 Rotea = 19.25 h (starts 06:00, 07:45, 12:45); 3 batches / 1 of each = 26.50 h; 5 batches / 1 of each = 41.00 h. Multi-batch makespans are scheduler outputs (see Scenarios).</t>
  </si>
  <si>
    <t xml:space="preserve">Facility options: workstations to starts/day, batches/year, equipment and FTE</t>
  </si>
  <si>
    <t xml:space="preserve">Workstation = Prodigy + Rotea + Flowfect + Ares (deck s47). Grey columns are pasted scheduler outputs from model-output.json (Day-4 chain bound under the selected durations); everything else is a formula.</t>
  </si>
  <si>
    <t xml:space="preserve">Option</t>
  </si>
  <si>
    <t xml:space="preserve">Status</t>
  </si>
  <si>
    <t xml:space="preserve">Area (sq ft)</t>
  </si>
  <si>
    <t xml:space="preserve">Units</t>
  </si>
  <si>
    <t xml:space="preserve">Workstations per unit</t>
  </si>
  <si>
    <t xml:space="preserve">Workstations</t>
  </si>
  <si>
    <t xml:space="preserve">Incubators (source count, blank = none)</t>
  </si>
  <si>
    <t xml:space="preserve">Prodigy 24-h bound (starts/day)</t>
  </si>
  <si>
    <t xml:space="preserve">Day-4 chain bound, made durations (scheduler)</t>
  </si>
  <si>
    <t xml:space="preserve">Day-4 chain bound, rtx durations (scheduler)</t>
  </si>
  <si>
    <t xml:space="preserve">Day-4 chain bound (selected)</t>
  </si>
  <si>
    <t xml:space="preserve">Incubator-days per batch</t>
  </si>
  <si>
    <t xml:space="preserve">Incubator bound (starts/day)</t>
  </si>
  <si>
    <t xml:space="preserve">Starts/day, rule (1 per workstation)</t>
  </si>
  <si>
    <t xml:space="preserve">Starts/day, 24-h processing</t>
  </si>
  <si>
    <t xml:space="preserve">Batches/yr @250 (rule)</t>
  </si>
  <si>
    <t xml:space="preserve">Batches/yr @336 (rule)</t>
  </si>
  <si>
    <t xml:space="preserve">Batches/yr @250 (24-h)</t>
  </si>
  <si>
    <t xml:space="preserve">Batches/yr @336 (24-h)</t>
  </si>
  <si>
    <t xml:space="preserve">Incubators required (rule)</t>
  </si>
  <si>
    <t xml:space="preserve">Mfg FTE 0.8 rule, 7-day week (rule)</t>
  </si>
  <si>
    <t xml:space="preserve">Mfg FTE 0.8 rule, 5-day week (rule)</t>
  </si>
  <si>
    <t xml:space="preserve">Mfg FTE from operator-hours, 7-day (rule)</t>
  </si>
  <si>
    <t xml:space="preserve">QC FTE 7-day (rule)</t>
  </si>
  <si>
    <t xml:space="preserve">QC FTE 5-day (rule)</t>
  </si>
  <si>
    <t xml:space="preserve">Rated (source)</t>
  </si>
  <si>
    <t xml:space="preserve">Assumption</t>
  </si>
  <si>
    <t xml:space="preserve">Princeton 201, Suites 1-4</t>
  </si>
  <si>
    <t xml:space="preserve">existing</t>
  </si>
  <si>
    <t xml:space="preserve">200/yr; 2 starts/wk per suite, 100/yr per suite; 2 suites [CH]</t>
  </si>
  <si>
    <t xml:space="preserve">RTx allocation = 2 of the 4 suites (V3: 4 same-day starts across 2 suites). Equipment per suite from the debrief: 1 Prodigy, 3 incubators, 1 Rotea, 1 Flowfect.</t>
  </si>
  <si>
    <t xml:space="preserve">Princeton 201, Suite 8 ballroom</t>
  </si>
  <si>
    <t xml:space="preserve">planned</t>
  </si>
  <si>
    <t xml:space="preserve">1250/yr; 5 Prodigy, 25 incubators, 10 Rotea, 5 electroporators (old process) [CH]</t>
  </si>
  <si>
    <t xml:space="preserve">5 workstations (one per Prodigy in the Suite 8 layout); incubator count as rated.</t>
  </si>
  <si>
    <t xml:space="preserve">Princeton 307 ballrooms</t>
  </si>
  <si>
    <t xml:space="preserve">build</t>
  </si>
  <si>
    <t xml:space="preserve">5760/yr; debrief: 1,440/yr per suite x 4 suites; V3: 10,000 patients/yr at 40 starts/day [CH]</t>
  </si>
  <si>
    <t xml:space="preserve">4 of 8 ballrooms fitted; 10 workstations per ballroom (10 starts/day per ballroom at one start per Prodigy per day). No source incubator count: the model reports the requirement.</t>
  </si>
  <si>
    <t xml:space="preserve">East Norriton Grade C ballroom</t>
  </si>
  <si>
    <t xml:space="preserve">existing, dedicated</t>
  </si>
  <si>
    <t xml:space="preserve">1,800-3,600/yr; 8 batches/day, 16/day with 24-h processing [S47]; 36-72 starts/wk [CH]</t>
  </si>
  <si>
    <t xml:space="preserve">8 workstation columns [S47]. No source incubator count: the model reports the requirement.</t>
  </si>
  <si>
    <t xml:space="preserve">East Norriton expansion (30,000 sq ft)</t>
  </si>
  <si>
    <t xml:space="preserve">build, ~15 months from Go</t>
  </si>
  <si>
    <t xml:space="preserve">up to 8 ballroom suites, EU Annex 1-ready [RP]; no rated throughput in any source</t>
  </si>
  <si>
    <t xml:space="preserve">Each of the 8 suites assumed to match the existing ballroom (8 workstations). Planning assumption only; no source incubator count.</t>
  </si>
  <si>
    <t xml:space="preserve">Rule = one start per workstation per day (deck s45, s47 '8 batches/day'), capped by the Day-4 chain bound and by incubators where a source count exists. 24-h = Prodigy 24 h / Day-0 run and the Day-4 chain bound (s47 '16/day with 24 hour processing').</t>
  </si>
  <si>
    <t xml:space="preserve">Commercial ramp (V3): patients/yr to starts/day to facility option</t>
  </si>
  <si>
    <t xml:space="preserve">One batch per patient. Starts/day = ROUNDUP(patients / operating days). Coverage uses Facility!N (rule reading, selected durations). Pivotal: 110 patients / 15 months, 1-3 starts/day, up to 5 same day.</t>
  </si>
  <si>
    <t xml:space="preserve">Year</t>
  </si>
  <si>
    <t xml:space="preserve">Patients/yr (V3)</t>
  </si>
  <si>
    <t xml:space="preserve">Starts/day @250</t>
  </si>
  <si>
    <t xml:space="preserve">Starts/day @336</t>
  </si>
  <si>
    <t xml:space="preserve">Covers @250: 201 S1-4</t>
  </si>
  <si>
    <t xml:space="preserve">Covers @250: 201 S8</t>
  </si>
  <si>
    <t xml:space="preserve">Covers @250: 307</t>
  </si>
  <si>
    <t xml:space="preserve">Covers @250: EN ballroom</t>
  </si>
  <si>
    <t xml:space="preserve">Covers @250: EN expansion</t>
  </si>
  <si>
    <t xml:space="preserve">First option @250</t>
  </si>
  <si>
    <t xml:space="preserve">Covers @336: 201 S1-4</t>
  </si>
  <si>
    <t xml:space="preserve">Covers @336: 201 S8</t>
  </si>
  <si>
    <t xml:space="preserve">Covers @336: 307</t>
  </si>
  <si>
    <t xml:space="preserve">Covers @336: EN ballroom</t>
  </si>
  <si>
    <t xml:space="preserve">Covers @336: EN expansion</t>
  </si>
  <si>
    <t xml:space="preserve">First option @336</t>
  </si>
  <si>
    <t xml:space="preserve">Y1</t>
  </si>
  <si>
    <t xml:space="preserve">Y2</t>
  </si>
  <si>
    <t xml:space="preserve">Y3</t>
  </si>
  <si>
    <t xml:space="preserve">Y4</t>
  </si>
  <si>
    <t xml:space="preserve">Y5</t>
  </si>
  <si>
    <t xml:space="preserve">Y6</t>
  </si>
  <si>
    <t xml:space="preserve">Y7</t>
  </si>
  <si>
    <t xml:space="preserve">Pivotal</t>
  </si>
  <si>
    <t xml:space="preserve">3 starts/day (peak clinical day; up to 5 same day confirmed in V3)</t>
  </si>
  <si>
    <t xml:space="preserve">Pivotal, 5 same-day</t>
  </si>
  <si>
    <t xml:space="preserve">Pivotal incubators for a 5-start Tue/Wed week (whole incubator per batch)</t>
  </si>
  <si>
    <t xml:space="preserve">Scheduler output (pasted values from model-output.json, not formulas)</t>
  </si>
  <si>
    <t xml:space="preserve">Generated 2026-09-27T01:23:13.791Z by node model.js. Hold-constrained list scheduler ported from day4model2.js with dur recorded (utilization fixed). N = batches on Day 4; stagger off = deck s45 one-workstation-per-start rule.</t>
  </si>
  <si>
    <t xml:space="preserve">Durations</t>
  </si>
  <si>
    <t xml:space="preserve">Stagger</t>
  </si>
  <si>
    <t xml:space="preserve">Equipment set</t>
  </si>
  <si>
    <t xml:space="preserve">N batches</t>
  </si>
  <si>
    <t xml:space="preserve">Feasible</t>
  </si>
  <si>
    <t xml:space="preserve">Batch starts (clock)</t>
  </si>
  <si>
    <t xml:space="preserve">Peak ops Day 4</t>
  </si>
  <si>
    <t xml:space="preserve">Peak ops Day 0 + Day 4</t>
  </si>
  <si>
    <t xml:space="preserve">Util BSC</t>
  </si>
  <si>
    <t xml:space="preserve">Util Rotea</t>
  </si>
  <si>
    <t xml:space="preserve">Util Flowfect</t>
  </si>
  <si>
    <t xml:space="preserve">Util Ares</t>
  </si>
  <si>
    <t xml:space="preserve">Util VI</t>
  </si>
  <si>
    <t xml:space="preserve">Util CRF</t>
  </si>
  <si>
    <t xml:space="preserve">Incubators needed</t>
  </si>
  <si>
    <t xml:space="preserve">QC h/day</t>
  </si>
  <si>
    <t xml:space="preserve">Max starts/day (all bounds)</t>
  </si>
  <si>
    <t xml:space="preserve">Binding</t>
  </si>
  <si>
    <t xml:space="preserve">Required equipment (no stagger)</t>
  </si>
  <si>
    <t xml:space="preserve">on</t>
  </si>
  <si>
    <t xml:space="preserve">1 of each</t>
  </si>
  <si>
    <t xml:space="preserve">yes</t>
  </si>
  <si>
    <t xml:space="preserve">06:00</t>
  </si>
  <si>
    <t xml:space="preserve">Incubators</t>
  </si>
  <si>
    <t xml:space="preserve">2 Rotea</t>
  </si>
  <si>
    <t xml:space="preserve">EN ballroom 8 workstations</t>
  </si>
  <si>
    <t xml:space="preserve">06:00, 12:45</t>
  </si>
  <si>
    <t xml:space="preserve">06:00, 07:45</t>
  </si>
  <si>
    <t xml:space="preserve">06:00, 06:00</t>
  </si>
  <si>
    <t xml:space="preserve">06:00, 12:45, 20:00</t>
  </si>
  <si>
    <t xml:space="preserve">06:00, 07:45, 12:45</t>
  </si>
  <si>
    <t xml:space="preserve">06:00, 06:00, 06:00</t>
  </si>
  <si>
    <t xml:space="preserve">06:00, 12:45, 20:00, 03:15 +1, 10:30 +1</t>
  </si>
  <si>
    <t xml:space="preserve">06:00, 07:45, 12:45, 14:30, 20:00</t>
  </si>
  <si>
    <t xml:space="preserve">06:00, 06:00, 06:00, 06:00, 06:45</t>
  </si>
  <si>
    <t xml:space="preserve">06:00, 12:45, 20:00, 03:15 +1, 10:30 +1, 17:45 +1, 01:00 +2, 08:15 +2</t>
  </si>
  <si>
    <t xml:space="preserve">06:00, 07:45, 12:45, 14:30, 20:00, 21:45, 03:15 +1, 05:00 +1</t>
  </si>
  <si>
    <t xml:space="preserve">06:00, 06:00, 06:00, 06:00, 06:45, 06:45, 08:00, 09:15</t>
  </si>
  <si>
    <t xml:space="preserve">06:00, 12:45, 20:00, 03:15 +1, 10:30 +1, 17:45 +1, 01:00 +2, 08:15 +2, 15:30 +2, 22:45 +2</t>
  </si>
  <si>
    <t xml:space="preserve">06:00, 07:45, 12:45, 14:30, 20:00, 21:45, 03:15 +1, 05:00 +1, 10:30 +1, 12:15 +1</t>
  </si>
  <si>
    <t xml:space="preserve">06:00, 06:00, 06:00, 06:00, 06:45, 06:45, 08:00, 09:15, 12:45, 12:45</t>
  </si>
  <si>
    <t xml:space="preserve">06:00, 12:45, 20:00, 03:15 +1, 10:30 +1, 17:45 +1, 01:00 +2, 08:15 +2, 15:30 +2, 22:45 +2, 06:00 +3, 13:15 +3, 20:30 +3, 03:45 +4, 11:00 +4, 18:15 +4</t>
  </si>
  <si>
    <t xml:space="preserve">06:00, 07:45, 12:45, 14:30, 20:00, 21:45, 03:15 +1, 05:00 +1, 10:30 +1, 12:15 +1, 17:45 +1, 19:30 +1, 01:00 +2, 02:45 +2, 08:15 +2, 10:00 +2</t>
  </si>
  <si>
    <t xml:space="preserve">06:00, 06:00, 06:00, 06:00, 06:45, 06:45, 08:00, 09:15, 12:45, 12:45, 14:00, 14:00, 15:15, 15:15, 16:30, 17:45</t>
  </si>
  <si>
    <t xml:space="preserve">off</t>
  </si>
  <si>
    <t xml:space="preserve">2 of each</t>
  </si>
  <si>
    <t xml:space="preserve">3 of each</t>
  </si>
  <si>
    <t xml:space="preserve">06:00, 06:00, 06:00, 06:00, 06:00</t>
  </si>
  <si>
    <t xml:space="preserve">5 of each</t>
  </si>
  <si>
    <t xml:space="preserve">06:00, 06:00, 06:00, 06:00, 06:00, 06:00, 06:00, 06:00</t>
  </si>
  <si>
    <t xml:space="preserve">8 of each</t>
  </si>
  <si>
    <t xml:space="preserve">06:00, 06:00, 06:00, 06:00, 06:00, 06:00, 06:00, 06:00, 06:00, 06:00</t>
  </si>
  <si>
    <t xml:space="preserve">10 of each</t>
  </si>
  <si>
    <t xml:space="preserve">06:00, 06:00, 06:00, 06:00, 06:00, 06:00, 06:00, 06:00, 06:00, 06:00, 06:00, 06:00, 06:00, 06:00, 06:00, 06:00</t>
  </si>
  <si>
    <t xml:space="preserve">16 of each</t>
  </si>
  <si>
    <t xml:space="preserve">rtx</t>
  </si>
  <si>
    <t xml:space="preserve">Day-4 equipment (holds)</t>
  </si>
  <si>
    <t xml:space="preserve">06:00, 19:30</t>
  </si>
  <si>
    <t xml:space="preserve">06:00, 09:45</t>
  </si>
  <si>
    <t xml:space="preserve">06:00, 19:30, 09:30 +1</t>
  </si>
  <si>
    <t xml:space="preserve">06:00, 09:45, 19:30</t>
  </si>
  <si>
    <t xml:space="preserve">06:00, 19:30, 09:30 +1, 23:30 +1, 13:15 +2</t>
  </si>
  <si>
    <t xml:space="preserve">06:00, 09:45, 19:30, 23:45, 09:30 +1</t>
  </si>
  <si>
    <t xml:space="preserve">06:00, 06:00, 06:00, 06:00, 09:45</t>
  </si>
  <si>
    <t xml:space="preserve">06:00, 19:30, 09:30 +1, 23:30 +1, 13:15 +2, 03:15 +3, 17:15 +3, 07:00 +4</t>
  </si>
  <si>
    <t xml:space="preserve">06:00, 09:45, 19:30, 23:45, 09:30 +1, 13:45 +1, 23:30 +1, 03:45 +2</t>
  </si>
  <si>
    <t xml:space="preserve">06:00, 06:00, 06:00, 06:00, 09:45, 09:45, 14:00, 18:15</t>
  </si>
  <si>
    <t xml:space="preserve">06:00, 19:30, 09:30 +1, 23:30 +1, 13:15 +2, 03:15 +3, 17:15 +3, 07:00 +4, 21:00 +4, 11:00 +5</t>
  </si>
  <si>
    <t xml:space="preserve">06:00, 09:45, 19:30, 23:45, 09:30 +1, 13:45 +1, 23:30 +1, 03:45 +2, 13:15 +2, 17:30 +2</t>
  </si>
  <si>
    <t xml:space="preserve">06:00, 06:00, 06:00, 06:00, 09:45, 09:45, 14:00, 18:15, 19:30, 19:30</t>
  </si>
  <si>
    <t xml:space="preserve">06:00, 19:30, 09:30 +1, 23:30 +1, 13:15 +2, 03:15 +3, 17:15 +3, 07:00 +4, 21:00 +4, 11:00 +5, 00:45 +6, 14:45 +6, 04:45 +7, 18:30 +7, 08:30 +8, 22:30 +8</t>
  </si>
  <si>
    <t xml:space="preserve">06:00, 09:45, 19:30, 23:45, 09:30 +1, 13:45 +1, 23:30 +1, 03:45 +2, 13:15 +2, 17:30 +2, 03:15 +3, 07:30 +3, 17:15 +3, 21:30 +3, 07:00 +4, 11:15 +4</t>
  </si>
  <si>
    <t xml:space="preserve">06:00, 06:00, 06:00, 06:00, 09:45, 09:45, 14:00, 18:15, 19:30, 19:30, 23:45, 23:45, 04:00 +1, 04:00 +1, 08:15 +1, 09:30 +1</t>
  </si>
  <si>
    <t xml:space="preserve">Baselines (check-model-baseline.js)</t>
  </si>
  <si>
    <t xml:space="preserve">single_made_h</t>
  </si>
  <si>
    <t xml:space="preserve">single_rtx_h</t>
  </si>
  <si>
    <t xml:space="preserve">three_batch_two_rotea_makespan_h</t>
  </si>
  <si>
    <t xml:space="preserve">three_batch_two_rotea_starts</t>
  </si>
  <si>
    <t xml:space="preserve">["06:00", "07:45", "12:45"]</t>
  </si>
  <si>
    <t xml:space="preserve">three_batch_two_rotea_util</t>
  </si>
  <si>
    <t xml:space="preserve">{"BSC": 0.2727272727272727, "Rotea": 0.19480519480519481, "Flowfect": 0.11688311688311688, "Ares": 0.19480519480519481, "VI": 0.11688311688311688, "CRF": 0.15584415584415584}</t>
  </si>
  <si>
    <t xml:space="preserve">Facility options, both duration sets (scheduler output)</t>
  </si>
  <si>
    <t xml:space="preserve">Rule starts/day</t>
  </si>
  <si>
    <t xml:space="preserve">Rule binding</t>
  </si>
  <si>
    <t xml:space="preserve">24-h starts/day</t>
  </si>
  <si>
    <t xml:space="preserve">24-h binding</t>
  </si>
  <si>
    <t xml:space="preserve">Makespan at rule (h)</t>
  </si>
  <si>
    <t xml:space="preserve">Operators/shift at rule</t>
  </si>
  <si>
    <t xml:space="preserve">Incubators (6)</t>
  </si>
  <si>
    <t xml:space="preserve">Incubators (25)</t>
  </si>
  <si>
    <t xml:space="preserve">one start per workstation per day</t>
  </si>
  <si>
    <t xml:space="preserve">Day-4 chain (holds)</t>
  </si>
  <si>
    <t xml:space="preserve">Day-4 chain (holds) under these durations</t>
  </si>
  <si>
    <t xml:space="preserve">Sizing: a chosen limitation drives rooms -&gt; equipment -&gt; people -&gt; throughput</t>
  </si>
  <si>
    <t xml:space="preserve">Formulas mirror model.js size(): units = ROUNDUP(S x busy h per batch / (staffed window x target utilization)). The scheduler-verified counts (hold-constrained Day-4 check) cannot be cell formulas; they are pasted from model-output.json for the default 10 starts/day and labeled.</t>
  </si>
  <si>
    <t xml:space="preserve">Driver</t>
  </si>
  <si>
    <t xml:space="preserve">Equipment-led: starts/day = Prodigy x INT(Day-0 window / Prodigy run)</t>
  </si>
  <si>
    <t xml:space="preserve">Demand-led: starts/day = ROUNDUP(patients / operating days)</t>
  </si>
  <si>
    <t xml:space="preserve">Starts/day used (S)</t>
  </si>
  <si>
    <t xml:space="preserve">Prodigy runs per Day-0 window</t>
  </si>
  <si>
    <t xml:space="preserve">Busy h per batch (selected durations)</t>
  </si>
  <si>
    <t xml:space="preserve">Units by utilization rule</t>
  </si>
  <si>
    <t xml:space="preserve">Busy h per day</t>
  </si>
  <si>
    <t xml:space="preserve">Hours available per unit</t>
  </si>
  <si>
    <t xml:space="preserve">Utilization</t>
  </si>
  <si>
    <t xml:space="preserve">Scheduler-verified units, 10 starts/day, made (pasted)</t>
  </si>
  <si>
    <t xml:space="preserve">Scheduler-verified units, 10 starts/day, rtx (pasted)</t>
  </si>
  <si>
    <t xml:space="preserve">Rule</t>
  </si>
  <si>
    <t xml:space="preserve">Prodigy (Day 0)</t>
  </si>
  <si>
    <t xml:space="preserve">ROUNDUP(S / runs per Day-0 window)</t>
  </si>
  <si>
    <t xml:space="preserve">ROUNDUP(S x busy / (window x target)); the scheduler then adds units until the day's batches clear within the holds</t>
  </si>
  <si>
    <t xml:space="preserve">Rotea (two passes)</t>
  </si>
  <si>
    <t xml:space="preserve">CO2 incubators</t>
  </si>
  <si>
    <t xml:space="preserve">busy column = incubator-days per batch; ROUNDUP(S x incubator-days / target)</t>
  </si>
  <si>
    <t xml:space="preserve">Operators per shift (hours rule)</t>
  </si>
  <si>
    <t xml:space="preserve">busy column = operator-hours per batch; model.js takes the larger of this and the scheduler peak (pasted columns)</t>
  </si>
  <si>
    <t xml:space="preserve">Workstations (max of Prodigy, Rotea, Flowfect, Ares)</t>
  </si>
  <si>
    <t xml:space="preserve">Mfg FTE, 0.8 rule, 7-day / 5-day week</t>
  </si>
  <si>
    <t xml:space="preserve">Mfg FTE from operator-hours, 7-day / 5-day</t>
  </si>
  <si>
    <t xml:space="preserve">QC FTE, 7-day / 5-day</t>
  </si>
  <si>
    <t xml:space="preserve">Batches per year @250 / @336</t>
  </si>
  <si>
    <t xml:space="preserve">Check: at S = 10 and target utilization 1.0 the incubator formula gives 52 (5.17 incubator-days x 10), the existing requirement; at 0.85 it gives 61. Pasted scheduler columns are for S = 10 only.</t>
  </si>
  <si>
    <t xml:space="preserve">Multi-suite growth: rooms open in pathway order until capacity covers demand</t>
  </si>
  <si>
    <t xml:space="preserve">Default pathway: East Norriton ballroom, then expansion suites one at a time, then Princeton 307 ballrooms one at a time. Room capacity = MIN(workstations x Prodigy runs per day, Day-4 chain cap). The Day-4 chain cap is a scheduler output (pasted from model-output.json).</t>
  </si>
  <si>
    <t xml:space="preserve">Room</t>
  </si>
  <si>
    <t xml:space="preserve">Max units</t>
  </si>
  <si>
    <t xml:space="preserve">Incubator wall (blank = no figure)</t>
  </si>
  <si>
    <t xml:space="preserve">Day-4 chain cap, made (pasted)</t>
  </si>
  <si>
    <t xml:space="preserve">Day-4 chain cap, rtx (pasted)</t>
  </si>
  <si>
    <t xml:space="preserve">Capacity per unit (starts/day)</t>
  </si>
  <si>
    <t xml:space="preserve">Lead time</t>
  </si>
  <si>
    <t xml:space="preserve">Workstation source</t>
  </si>
  <si>
    <t xml:space="preserve">Incubator wall source</t>
  </si>
  <si>
    <t xml:space="preserve">not stated</t>
  </si>
  <si>
    <t xml:space="preserve">Existing</t>
  </si>
  <si>
    <t xml:space="preserve">MADE layout assumption: one workstation per suite (pivotal suite equipment: 1 Prodigy, 1 Rotea, 1 Flowfect, MADE facility summary)</t>
  </si>
  <si>
    <t xml:space="preserve">3 per suite, pivotal suite equipment (MADE facility summary)</t>
  </si>
  <si>
    <t xml:space="preserve">Planned; GMP date to be confirmed</t>
  </si>
  <si>
    <t xml:space="preserve">MADE layout assumption: one workstation per Prodigy in the Suite 8 layout (5 Prodigy, 3D facility layouts, Jun 2026)</t>
  </si>
  <si>
    <t xml:space="preserve">25 incubators rated (3D facility layouts, Jun 2026)</t>
  </si>
  <si>
    <t xml:space="preserve">Existing (acquisition closed 19 Sep 2026)</t>
  </si>
  <si>
    <t xml:space="preserve">deck s47: 8 workstation columns (Prodigy + Rotea + EP + Ares); the room has accommodated up to 16 Prodigy (electrical and gases)</t>
  </si>
  <si>
    <t xml:space="preserve">MADE layout estimate from the 26 Sep workshop prep: 9 double-stacked incubators on each of two walls = 36</t>
  </si>
  <si>
    <t xml:space="preserve">East Norriton expansion suite</t>
  </si>
  <si>
    <t xml:space="preserve">~15 months from Go</t>
  </si>
  <si>
    <t xml:space="preserve">MADE planning assumption: each suite matches the existing ballroom (8 workstations)</t>
  </si>
  <si>
    <t xml:space="preserve">no source figure: the model reports the requirement</t>
  </si>
  <si>
    <t xml:space="preserve">Princeton 307 ballroom</t>
  </si>
  <si>
    <t xml:space="preserve">Q2 2028 (V3)</t>
  </si>
  <si>
    <t xml:space="preserve">MADE planning assumption: 10 workstations per ballroom (10 starts/day per ballroom, as in the facility table)</t>
  </si>
  <si>
    <t xml:space="preserve">Default pathway, one room unit per row</t>
  </si>
  <si>
    <t xml:space="preserve">Order</t>
  </si>
  <si>
    <t xml:space="preserve">Room unit</t>
  </si>
  <si>
    <t xml:space="preserve">Capacity (starts/day)</t>
  </si>
  <si>
    <t xml:space="preserve">Cumulative capacity</t>
  </si>
  <si>
    <t xml:space="preserve">EN ballroom #1</t>
  </si>
  <si>
    <t xml:space="preserve">EN expansion #1</t>
  </si>
  <si>
    <t xml:space="preserve">EN expansion #2</t>
  </si>
  <si>
    <t xml:space="preserve">EN expansion #3</t>
  </si>
  <si>
    <t xml:space="preserve">EN expansion #4</t>
  </si>
  <si>
    <t xml:space="preserve">EN expansion #5</t>
  </si>
  <si>
    <t xml:space="preserve">EN expansion #6</t>
  </si>
  <si>
    <t xml:space="preserve">EN expansion #7</t>
  </si>
  <si>
    <t xml:space="preserve">EN expansion #8</t>
  </si>
  <si>
    <t xml:space="preserve">307 #1</t>
  </si>
  <si>
    <t xml:space="preserve">307 #2</t>
  </si>
  <si>
    <t xml:space="preserve">307 #3</t>
  </si>
  <si>
    <t xml:space="preserve">307 #4</t>
  </si>
  <si>
    <t xml:space="preserve">307 #5</t>
  </si>
  <si>
    <t xml:space="preserve">307 #6</t>
  </si>
  <si>
    <t xml:space="preserve">307 #7</t>
  </si>
  <si>
    <t xml:space="preserve">307 #8</t>
  </si>
  <si>
    <t xml:space="preserve">Per year (formulas; demand basis from Inputs sizing_demand_days)</t>
  </si>
  <si>
    <t xml:space="preserve">Demand starts/day</t>
  </si>
  <si>
    <t xml:space="preserve">Room units open</t>
  </si>
  <si>
    <t xml:space="preserve">Last room opened</t>
  </si>
  <si>
    <t xml:space="preserve">Headroom (starts/day)</t>
  </si>
  <si>
    <t xml:space="preserve">Covered</t>
  </si>
  <si>
    <t xml:space="preserve">Capacity batches/yr @250</t>
  </si>
  <si>
    <t xml:space="preserve">Capacity batches/yr @336</t>
  </si>
  <si>
    <t xml:space="preserve">Rotea (rule)</t>
  </si>
  <si>
    <t xml:space="preserve">Flowfect (rule)</t>
  </si>
  <si>
    <t xml:space="preserve">Ares (rule)</t>
  </si>
  <si>
    <t xml:space="preserve">CRF (rule)</t>
  </si>
  <si>
    <t xml:space="preserve">Operators/shift (hours rule)</t>
  </si>
  <si>
    <t xml:space="preserve">Mfg FTE 7d</t>
  </si>
  <si>
    <t xml:space="preserve">Mfg FTE 5d</t>
  </si>
  <si>
    <t xml:space="preserve">QC FTE 7d</t>
  </si>
  <si>
    <t xml:space="preserve">QC FTE 5d</t>
  </si>
  <si>
    <t xml:space="preserve">Rotea, scheduler-verified (pasted, made, 250)</t>
  </si>
  <si>
    <t xml:space="preserve">Rooms open (pasted, made, 250)</t>
  </si>
  <si>
    <t xml:space="preserve">EN ballroom</t>
  </si>
  <si>
    <t xml:space="preserve">EN ballroom, EN expansion #1</t>
  </si>
  <si>
    <t xml:space="preserve">EN ballroom, EN expansion #1, EN expansion #2</t>
  </si>
  <si>
    <t xml:space="preserve">EN ballroom, EN expansion #1, EN expansion #2, EN expansion #3</t>
  </si>
  <si>
    <t xml:space="preserve">EN ballroom, EN expansion #1, EN expansion #2, EN expansion #3, EN expansion #4</t>
  </si>
  <si>
    <t xml:space="preserve">Princeton-first pathway (pasted from model-output.json, made durations, 250 days)</t>
  </si>
  <si>
    <t xml:space="preserve">Patients/yr</t>
  </si>
  <si>
    <t xml:space="preserve">Rooms open</t>
  </si>
  <si>
    <t xml:space="preserve">Headroom</t>
  </si>
  <si>
    <t xml:space="preserve">Operators/shift</t>
  </si>
  <si>
    <t xml:space="preserve">Mfg FTE 7d / 5d</t>
  </si>
  <si>
    <t xml:space="preserve">QC FTE 7d / 5d</t>
  </si>
  <si>
    <t xml:space="preserve">201 S1-4 #1, 201 S1-4 #2</t>
  </si>
  <si>
    <t xml:space="preserve">12 / 8</t>
  </si>
  <si>
    <t xml:space="preserve">19 / 14</t>
  </si>
  <si>
    <t xml:space="preserve">201 S1-4 #1, 201 S1-4 #2, 201 S8</t>
  </si>
  <si>
    <t xml:space="preserve">23 / 16</t>
  </si>
  <si>
    <t xml:space="preserve">38 / 27</t>
  </si>
  <si>
    <t xml:space="preserve">201 S1-4 #1, 201 S1-4 #2, 201 S8, 307 #1</t>
  </si>
  <si>
    <t xml:space="preserve">56 / 40</t>
  </si>
  <si>
    <t xml:space="preserve">93 / 67</t>
  </si>
  <si>
    <t xml:space="preserve">201 S1-4 #1, 201 S1-4 #2, 201 S8, 307 #1, 307 #2</t>
  </si>
  <si>
    <t xml:space="preserve">112 / 80</t>
  </si>
  <si>
    <t xml:space="preserve">186 / 133</t>
  </si>
  <si>
    <t xml:space="preserve">201 S1-4 #1, 201 S1-4 #2, 201 S8, 307 #1, 307 #2, 307 #3</t>
  </si>
  <si>
    <t xml:space="preserve">168 / 120</t>
  </si>
  <si>
    <t xml:space="preserve">279 / 199</t>
  </si>
  <si>
    <t xml:space="preserve">201 S1-4 #1, 201 S1-4 #2, 201 S8, 307 #1, 307 #2, 307 #3, 307 #4</t>
  </si>
  <si>
    <t xml:space="preserve">219 / 156</t>
  </si>
  <si>
    <t xml:space="preserve">362 / 259</t>
  </si>
  <si>
    <t xml:space="preserve">224 / 160</t>
  </si>
  <si>
    <t xml:space="preserve">371 / 265</t>
  </si>
  <si>
    <t xml:space="preserve">Rule columns size each Day-4 unit by utilization only; model.js then verifies the set with the hold-constrained scheduler and adds units (pasted column V for Rotea). Incubators beyond a known wall (East Norriton ballroom 36, MADE layout estimate) are overflow for side rooms or added stacks.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</si>
</sst>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%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545F"/>
      <name val="Funnel Display"/>
      <family val="0"/>
      <charset val="1"/>
    </font>
    <font>
      <i val="true"/>
      <sz val="9"/>
      <color rgb="FF5B6466"/>
      <name val="Funnel Sans"/>
      <family val="0"/>
      <charset val="1"/>
    </font>
    <font>
      <b val="true"/>
      <sz val="11"/>
      <color rgb="FFFFFFFF"/>
      <name val="Funnel Sans"/>
      <family val="0"/>
      <charset val="1"/>
    </font>
    <font>
      <b val="true"/>
      <sz val="11"/>
      <color rgb="FF00545F"/>
      <name val="Funnel Sans"/>
      <family val="0"/>
      <charset val="1"/>
    </font>
    <font>
      <sz val="11"/>
      <name val="Funnel Sans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0545F"/>
        <bgColor rgb="FF008080"/>
      </patternFill>
    </fill>
    <fill>
      <patternFill patternType="solid">
        <fgColor rgb="FFFFF6DA"/>
        <bgColor rgb="FFEDEDED"/>
      </patternFill>
    </fill>
    <fill>
      <patternFill patternType="solid">
        <fgColor rgb="FFE6F1F2"/>
        <bgColor rgb="FFEDEDED"/>
      </patternFill>
    </fill>
    <fill>
      <patternFill patternType="solid">
        <fgColor rgb="FFEDEDED"/>
        <bgColor rgb="FFE6F1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2D3"/>
      </left>
      <right style="thin">
        <color rgb="FFD0D2D3"/>
      </right>
      <top style="thin">
        <color rgb="FFD0D2D3"/>
      </top>
      <bottom style="thin">
        <color rgb="FFD0D2D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DA"/>
      <rgbColor rgb="FFE6F1F2"/>
      <rgbColor rgb="FF660066"/>
      <rgbColor rgb="FFFF8080"/>
      <rgbColor rgb="FF0066CC"/>
      <rgbColor rgb="FFD0D2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466"/>
      <rgbColor rgb="FF969696"/>
      <rgbColor rgb="FF0054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2"/>
    <col collapsed="false" customWidth="true" hidden="false" outlineLevel="0" max="3" min="3" style="0" width="20"/>
    <col collapsed="false" customWidth="true" hidden="false" outlineLevel="0" max="4" min="4" style="0" width="52"/>
    <col collapsed="false" customWidth="true" hidden="false" outlineLevel="0" max="5" min="5" style="0" width="9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customFormat="false" ht="15" hidden="false" customHeight="false" outlineLevel="0" collapsed="false">
      <c r="A5" s="4" t="s">
        <v>7</v>
      </c>
      <c r="B5" s="5" t="s">
        <v>8</v>
      </c>
      <c r="C5" s="6" t="s">
        <v>9</v>
      </c>
      <c r="D5" s="6" t="s">
        <v>10</v>
      </c>
      <c r="E5" s="2" t="s">
        <v>11</v>
      </c>
    </row>
    <row r="6" customFormat="false" ht="15" hidden="false" customHeight="false" outlineLevel="0" collapsed="false">
      <c r="A6" s="4" t="s">
        <v>12</v>
      </c>
      <c r="B6" s="5" t="n">
        <v>0.5</v>
      </c>
      <c r="C6" s="6" t="s">
        <v>13</v>
      </c>
      <c r="D6" s="6" t="s">
        <v>14</v>
      </c>
      <c r="E6" s="2" t="s">
        <v>15</v>
      </c>
    </row>
    <row r="7" customFormat="false" ht="15" hidden="false" customHeight="false" outlineLevel="0" collapsed="false">
      <c r="A7" s="4" t="s">
        <v>16</v>
      </c>
      <c r="B7" s="5" t="n">
        <v>4</v>
      </c>
      <c r="C7" s="6" t="s">
        <v>13</v>
      </c>
      <c r="D7" s="6" t="s">
        <v>17</v>
      </c>
      <c r="E7" s="2" t="s">
        <v>18</v>
      </c>
    </row>
    <row r="8" customFormat="false" ht="15" hidden="false" customHeight="false" outlineLevel="0" collapsed="false">
      <c r="A8" s="4" t="s">
        <v>19</v>
      </c>
      <c r="B8" s="5" t="n">
        <v>11.33</v>
      </c>
      <c r="C8" s="6" t="s">
        <v>13</v>
      </c>
      <c r="D8" s="6" t="s">
        <v>20</v>
      </c>
      <c r="E8" s="2" t="s">
        <v>21</v>
      </c>
    </row>
    <row r="9" customFormat="false" ht="15" hidden="false" customHeight="false" outlineLevel="0" collapsed="false">
      <c r="A9" s="4" t="s">
        <v>22</v>
      </c>
      <c r="B9" s="5" t="n">
        <v>24</v>
      </c>
      <c r="C9" s="6" t="s">
        <v>13</v>
      </c>
      <c r="D9" s="6" t="s">
        <v>23</v>
      </c>
      <c r="E9" s="2" t="s">
        <v>24</v>
      </c>
    </row>
    <row r="10" customFormat="false" ht="15" hidden="false" customHeight="false" outlineLevel="0" collapsed="false">
      <c r="A10" s="4" t="s">
        <v>25</v>
      </c>
      <c r="B10" s="5" t="n">
        <v>10</v>
      </c>
      <c r="C10" s="6" t="s">
        <v>26</v>
      </c>
      <c r="D10" s="6" t="s">
        <v>27</v>
      </c>
      <c r="E10" s="2" t="s">
        <v>28</v>
      </c>
    </row>
    <row r="11" customFormat="false" ht="15" hidden="false" customHeight="false" outlineLevel="0" collapsed="false">
      <c r="A11" s="4" t="s">
        <v>29</v>
      </c>
      <c r="B11" s="5" t="n">
        <v>6</v>
      </c>
      <c r="C11" s="6" t="s">
        <v>26</v>
      </c>
      <c r="D11" s="6" t="s">
        <v>30</v>
      </c>
      <c r="E11" s="2" t="s">
        <v>31</v>
      </c>
    </row>
    <row r="12" customFormat="false" ht="15" hidden="false" customHeight="false" outlineLevel="0" collapsed="false">
      <c r="A12" s="4" t="s">
        <v>32</v>
      </c>
      <c r="B12" s="5" t="n">
        <v>3</v>
      </c>
      <c r="C12" s="6" t="s">
        <v>33</v>
      </c>
      <c r="D12" s="6" t="s">
        <v>34</v>
      </c>
      <c r="E12" s="2" t="s">
        <v>35</v>
      </c>
    </row>
    <row r="13" customFormat="false" ht="15" hidden="false" customHeight="false" outlineLevel="0" collapsed="false">
      <c r="A13" s="4" t="s">
        <v>36</v>
      </c>
      <c r="B13" s="5" t="n">
        <v>0</v>
      </c>
      <c r="C13" s="6" t="s">
        <v>37</v>
      </c>
      <c r="D13" s="6" t="s">
        <v>38</v>
      </c>
      <c r="E13" s="2" t="s">
        <v>39</v>
      </c>
    </row>
    <row r="14" customFormat="false" ht="15" hidden="false" customHeight="false" outlineLevel="0" collapsed="false">
      <c r="A14" s="4" t="s">
        <v>40</v>
      </c>
      <c r="B14" s="5" t="n">
        <v>4</v>
      </c>
      <c r="C14" s="6" t="s">
        <v>26</v>
      </c>
      <c r="D14" s="6" t="s">
        <v>41</v>
      </c>
      <c r="E14" s="2" t="s">
        <v>42</v>
      </c>
    </row>
    <row r="15" customFormat="false" ht="15" hidden="false" customHeight="false" outlineLevel="0" collapsed="false">
      <c r="A15" s="4" t="s">
        <v>43</v>
      </c>
      <c r="B15" s="5" t="n">
        <v>4</v>
      </c>
      <c r="C15" s="6" t="s">
        <v>44</v>
      </c>
      <c r="D15" s="6" t="s">
        <v>45</v>
      </c>
      <c r="E15" s="2" t="s">
        <v>46</v>
      </c>
    </row>
    <row r="16" customFormat="false" ht="15" hidden="false" customHeight="false" outlineLevel="0" collapsed="false">
      <c r="A16" s="4" t="s">
        <v>47</v>
      </c>
      <c r="B16" s="5" t="n">
        <v>5</v>
      </c>
      <c r="C16" s="6" t="s">
        <v>44</v>
      </c>
      <c r="D16" s="6" t="s">
        <v>48</v>
      </c>
      <c r="E16" s="2" t="s">
        <v>49</v>
      </c>
    </row>
    <row r="17" customFormat="false" ht="15" hidden="false" customHeight="false" outlineLevel="0" collapsed="false">
      <c r="A17" s="4" t="s">
        <v>50</v>
      </c>
      <c r="B17" s="5" t="n">
        <v>53</v>
      </c>
      <c r="C17" s="6" t="s">
        <v>13</v>
      </c>
      <c r="D17" s="6" t="s">
        <v>51</v>
      </c>
      <c r="E17" s="2" t="s">
        <v>52</v>
      </c>
    </row>
    <row r="18" customFormat="false" ht="15" hidden="false" customHeight="false" outlineLevel="0" collapsed="false">
      <c r="A18" s="4" t="s">
        <v>53</v>
      </c>
      <c r="B18" s="5" t="n">
        <v>40</v>
      </c>
      <c r="C18" s="6" t="s">
        <v>13</v>
      </c>
      <c r="D18" s="6" t="s">
        <v>54</v>
      </c>
      <c r="E18" s="2"/>
    </row>
    <row r="19" customFormat="false" ht="15" hidden="false" customHeight="false" outlineLevel="0" collapsed="false">
      <c r="A19" s="4" t="s">
        <v>55</v>
      </c>
      <c r="B19" s="5" t="n">
        <v>0.8</v>
      </c>
      <c r="C19" s="6" t="s">
        <v>56</v>
      </c>
      <c r="D19" s="6" t="s">
        <v>57</v>
      </c>
      <c r="E19" s="2" t="s">
        <v>58</v>
      </c>
    </row>
    <row r="20" customFormat="false" ht="15" hidden="false" customHeight="false" outlineLevel="0" collapsed="false">
      <c r="A20" s="4" t="s">
        <v>59</v>
      </c>
      <c r="B20" s="5" t="n">
        <v>40</v>
      </c>
      <c r="C20" s="6" t="s">
        <v>13</v>
      </c>
      <c r="D20" s="6" t="s">
        <v>38</v>
      </c>
      <c r="E20" s="2" t="s">
        <v>60</v>
      </c>
    </row>
    <row r="21" customFormat="false" ht="15" hidden="false" customHeight="false" outlineLevel="0" collapsed="false">
      <c r="A21" s="4" t="s">
        <v>61</v>
      </c>
      <c r="B21" s="5" t="n">
        <v>250</v>
      </c>
      <c r="C21" s="6" t="s">
        <v>62</v>
      </c>
      <c r="D21" s="6" t="s">
        <v>63</v>
      </c>
      <c r="E21" s="2" t="s">
        <v>64</v>
      </c>
    </row>
    <row r="22" customFormat="false" ht="15" hidden="false" customHeight="false" outlineLevel="0" collapsed="false">
      <c r="A22" s="4" t="s">
        <v>65</v>
      </c>
      <c r="B22" s="5" t="n">
        <v>336</v>
      </c>
      <c r="C22" s="6" t="s">
        <v>62</v>
      </c>
      <c r="D22" s="6" t="s">
        <v>66</v>
      </c>
      <c r="E22" s="2" t="s">
        <v>67</v>
      </c>
    </row>
    <row r="23" customFormat="false" ht="15" hidden="false" customHeight="false" outlineLevel="0" collapsed="false">
      <c r="A23" s="4" t="s">
        <v>68</v>
      </c>
      <c r="B23" s="5" t="n">
        <v>48</v>
      </c>
      <c r="C23" s="6" t="s">
        <v>69</v>
      </c>
      <c r="D23" s="6" t="s">
        <v>70</v>
      </c>
      <c r="E23" s="2"/>
    </row>
    <row r="24" customFormat="false" ht="15" hidden="false" customHeight="false" outlineLevel="0" collapsed="false">
      <c r="A24" s="4" t="s">
        <v>71</v>
      </c>
      <c r="B24" s="5" t="n">
        <v>6</v>
      </c>
      <c r="C24" s="6" t="s">
        <v>72</v>
      </c>
      <c r="D24" s="6" t="s">
        <v>73</v>
      </c>
      <c r="E24" s="2" t="s">
        <v>74</v>
      </c>
    </row>
    <row r="25" customFormat="false" ht="15" hidden="false" customHeight="false" outlineLevel="0" collapsed="false">
      <c r="A25" s="4" t="s">
        <v>75</v>
      </c>
      <c r="B25" s="5" t="n">
        <v>110</v>
      </c>
      <c r="C25" s="6" t="s">
        <v>76</v>
      </c>
      <c r="D25" s="6" t="s">
        <v>77</v>
      </c>
      <c r="E25" s="2" t="s">
        <v>78</v>
      </c>
    </row>
    <row r="26" customFormat="false" ht="15" hidden="false" customHeight="false" outlineLevel="0" collapsed="false">
      <c r="A26" s="4" t="s">
        <v>79</v>
      </c>
      <c r="B26" s="5" t="n">
        <v>5</v>
      </c>
      <c r="C26" s="6" t="s">
        <v>80</v>
      </c>
      <c r="D26" s="6" t="s">
        <v>81</v>
      </c>
      <c r="E26" s="2" t="s">
        <v>82</v>
      </c>
    </row>
    <row r="27" customFormat="false" ht="15" hidden="false" customHeight="false" outlineLevel="0" collapsed="false">
      <c r="A27" s="4" t="s">
        <v>83</v>
      </c>
      <c r="B27" s="5" t="n">
        <v>10</v>
      </c>
      <c r="C27" s="6" t="s">
        <v>84</v>
      </c>
      <c r="D27" s="6" t="s">
        <v>85</v>
      </c>
      <c r="E27" s="2" t="s">
        <v>86</v>
      </c>
    </row>
    <row r="28" customFormat="false" ht="15" hidden="false" customHeight="false" outlineLevel="0" collapsed="false">
      <c r="A28" s="4" t="s">
        <v>87</v>
      </c>
      <c r="B28" s="5" t="n">
        <v>2500</v>
      </c>
      <c r="C28" s="6" t="s">
        <v>88</v>
      </c>
      <c r="D28" s="6" t="s">
        <v>89</v>
      </c>
      <c r="E28" s="2" t="s">
        <v>90</v>
      </c>
    </row>
    <row r="29" customFormat="false" ht="15" hidden="false" customHeight="false" outlineLevel="0" collapsed="false">
      <c r="A29" s="4" t="s">
        <v>91</v>
      </c>
      <c r="B29" s="5" t="n">
        <v>250</v>
      </c>
      <c r="C29" s="6" t="s">
        <v>62</v>
      </c>
      <c r="D29" s="6" t="s">
        <v>92</v>
      </c>
      <c r="E29" s="2" t="s">
        <v>93</v>
      </c>
    </row>
    <row r="30" customFormat="false" ht="15" hidden="false" customHeight="false" outlineLevel="0" collapsed="false">
      <c r="A30" s="4" t="s">
        <v>94</v>
      </c>
      <c r="B30" s="5" t="s">
        <v>95</v>
      </c>
      <c r="C30" s="6" t="s">
        <v>96</v>
      </c>
      <c r="D30" s="6" t="s">
        <v>97</v>
      </c>
      <c r="E30" s="2" t="s">
        <v>98</v>
      </c>
    </row>
    <row r="31" customFormat="false" ht="15" hidden="false" customHeight="false" outlineLevel="0" collapsed="false">
      <c r="A31" s="4" t="s">
        <v>99</v>
      </c>
      <c r="B31" s="5" t="n">
        <v>12</v>
      </c>
      <c r="C31" s="6" t="s">
        <v>13</v>
      </c>
      <c r="D31" s="6" t="s">
        <v>100</v>
      </c>
      <c r="E31" s="2" t="s">
        <v>101</v>
      </c>
    </row>
    <row r="32" customFormat="false" ht="15" hidden="false" customHeight="false" outlineLevel="0" collapsed="false">
      <c r="A32" s="4" t="s">
        <v>102</v>
      </c>
      <c r="B32" s="5" t="n">
        <v>24</v>
      </c>
      <c r="C32" s="6" t="s">
        <v>13</v>
      </c>
      <c r="D32" s="6" t="s">
        <v>103</v>
      </c>
      <c r="E32" s="2" t="s">
        <v>104</v>
      </c>
    </row>
    <row r="33" customFormat="false" ht="15" hidden="false" customHeight="false" outlineLevel="0" collapsed="false">
      <c r="A33" s="4" t="s">
        <v>105</v>
      </c>
      <c r="B33" s="5" t="n">
        <v>2</v>
      </c>
      <c r="C33" s="6" t="s">
        <v>106</v>
      </c>
      <c r="D33" s="6" t="s">
        <v>107</v>
      </c>
      <c r="E33" s="2"/>
    </row>
    <row r="34" customFormat="false" ht="15" hidden="false" customHeight="false" outlineLevel="0" collapsed="false">
      <c r="A34" s="4" t="s">
        <v>108</v>
      </c>
      <c r="B34" s="5" t="n">
        <v>12</v>
      </c>
      <c r="C34" s="6" t="s">
        <v>13</v>
      </c>
      <c r="D34" s="6" t="s">
        <v>107</v>
      </c>
      <c r="E34" s="2"/>
    </row>
    <row r="35" customFormat="false" ht="15" hidden="false" customHeight="false" outlineLevel="0" collapsed="false">
      <c r="A35" s="4" t="s">
        <v>109</v>
      </c>
      <c r="B35" s="5" t="n">
        <v>0.85</v>
      </c>
      <c r="C35" s="6" t="s">
        <v>110</v>
      </c>
      <c r="D35" s="6" t="s">
        <v>111</v>
      </c>
      <c r="E35" s="2" t="s">
        <v>112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4"/>
    <col collapsed="false" customWidth="true" hidden="false" outlineLevel="0" max="3" min="3" style="0" width="24"/>
    <col collapsed="false" customWidth="true" hidden="false" outlineLevel="0" max="5" min="4" style="0" width="8"/>
    <col collapsed="false" customWidth="true" hidden="false" outlineLevel="0" max="6" min="6" style="0" width="11"/>
    <col collapsed="false" customWidth="true" hidden="false" outlineLevel="0" max="7" min="7" style="0" width="10"/>
    <col collapsed="false" customWidth="true" hidden="false" outlineLevel="0" max="8" min="8" style="0" width="13"/>
    <col collapsed="false" customWidth="true" hidden="false" outlineLevel="0" max="9" min="9" style="0" width="14"/>
    <col collapsed="false" customWidth="true" hidden="false" outlineLevel="0" max="10" min="10" style="0" width="60"/>
  </cols>
  <sheetData>
    <row r="1" customFormat="false" ht="17.35" hidden="false" customHeight="false" outlineLevel="0" collapsed="false">
      <c r="A1" s="1" t="s">
        <v>113</v>
      </c>
    </row>
    <row r="2" customFormat="false" ht="15" hidden="false" customHeight="false" outlineLevel="0" collapsed="false">
      <c r="A2" s="2" t="s">
        <v>114</v>
      </c>
    </row>
    <row r="4" customFormat="false" ht="44" hidden="false" customHeight="false" outlineLevel="0" collapsed="false">
      <c r="A4" s="3" t="s">
        <v>115</v>
      </c>
      <c r="B4" s="3" t="s">
        <v>116</v>
      </c>
      <c r="C4" s="3" t="s">
        <v>117</v>
      </c>
      <c r="D4" s="3" t="s">
        <v>118</v>
      </c>
      <c r="E4" s="3" t="s">
        <v>119</v>
      </c>
      <c r="F4" s="3" t="s">
        <v>120</v>
      </c>
      <c r="G4" s="3" t="s">
        <v>121</v>
      </c>
      <c r="H4" s="3" t="s">
        <v>122</v>
      </c>
      <c r="I4" s="3" t="s">
        <v>123</v>
      </c>
      <c r="J4" s="3" t="s">
        <v>124</v>
      </c>
    </row>
    <row r="5" customFormat="false" ht="15" hidden="false" customHeight="false" outlineLevel="0" collapsed="false">
      <c r="A5" s="6" t="s">
        <v>125</v>
      </c>
      <c r="B5" s="6" t="s">
        <v>126</v>
      </c>
      <c r="C5" s="6" t="s">
        <v>127</v>
      </c>
      <c r="D5" s="0" t="n">
        <v>3</v>
      </c>
      <c r="F5" s="7" t="n">
        <f aca="false">IF(Inputs!$B$5="rtx",D5,IF(E5="",D5,E5))</f>
        <v>3</v>
      </c>
      <c r="G5" s="0" t="n">
        <v>1</v>
      </c>
      <c r="I5" s="7" t="n">
        <f aca="false">F5*G5</f>
        <v>3</v>
      </c>
      <c r="J5" s="2" t="s">
        <v>128</v>
      </c>
    </row>
    <row r="6" customFormat="false" ht="15" hidden="false" customHeight="false" outlineLevel="0" collapsed="false">
      <c r="A6" s="6" t="s">
        <v>129</v>
      </c>
      <c r="B6" s="6" t="s">
        <v>84</v>
      </c>
      <c r="C6" s="6" t="s">
        <v>130</v>
      </c>
      <c r="D6" s="0" t="n">
        <v>0.5</v>
      </c>
      <c r="F6" s="7" t="n">
        <f aca="false">IF(Inputs!$B$5="rtx",D6,IF(E6="",D6,E6))</f>
        <v>0.5</v>
      </c>
      <c r="G6" s="0" t="n">
        <v>1</v>
      </c>
      <c r="I6" s="7" t="n">
        <f aca="false">F6*G6</f>
        <v>0.5</v>
      </c>
      <c r="J6" s="2"/>
    </row>
    <row r="7" customFormat="false" ht="15" hidden="false" customHeight="false" outlineLevel="0" collapsed="false">
      <c r="A7" s="6" t="s">
        <v>131</v>
      </c>
      <c r="B7" s="6" t="s">
        <v>132</v>
      </c>
      <c r="C7" s="6" t="s">
        <v>133</v>
      </c>
      <c r="D7" s="0" t="n">
        <v>0.5</v>
      </c>
      <c r="F7" s="7" t="n">
        <f aca="false">IF(Inputs!$B$5="rtx",D7,IF(E7="",D7,E7))</f>
        <v>0.5</v>
      </c>
      <c r="G7" s="0" t="n">
        <v>1</v>
      </c>
      <c r="I7" s="7" t="n">
        <f aca="false">F7*G7</f>
        <v>0.5</v>
      </c>
      <c r="J7" s="2" t="s">
        <v>134</v>
      </c>
    </row>
    <row r="8" customFormat="false" ht="15" hidden="false" customHeight="false" outlineLevel="0" collapsed="false">
      <c r="A8" s="6" t="s">
        <v>135</v>
      </c>
      <c r="B8" s="6" t="s">
        <v>84</v>
      </c>
      <c r="C8" s="6" t="s">
        <v>136</v>
      </c>
      <c r="D8" s="0" t="n">
        <v>3.33</v>
      </c>
      <c r="F8" s="7" t="n">
        <f aca="false">IF(Inputs!$B$5="rtx",D8,IF(E8="",D8,E8))</f>
        <v>3.33</v>
      </c>
      <c r="G8" s="0" t="n">
        <v>1</v>
      </c>
      <c r="I8" s="7" t="n">
        <f aca="false">F8*G8</f>
        <v>3.33</v>
      </c>
      <c r="J8" s="2"/>
    </row>
    <row r="9" customFormat="false" ht="15" hidden="false" customHeight="false" outlineLevel="0" collapsed="false">
      <c r="A9" s="6" t="s">
        <v>137</v>
      </c>
      <c r="B9" s="6" t="s">
        <v>84</v>
      </c>
      <c r="C9" s="6" t="s">
        <v>138</v>
      </c>
      <c r="D9" s="0" t="n">
        <v>6.5</v>
      </c>
      <c r="F9" s="7" t="n">
        <f aca="false">IF(Inputs!$B$5="rtx",D9,IF(E9="",D9,E9))</f>
        <v>6.5</v>
      </c>
      <c r="G9" s="0" t="n">
        <v>0.5</v>
      </c>
      <c r="I9" s="7" t="n">
        <f aca="false">F9*G9</f>
        <v>3.25</v>
      </c>
      <c r="J9" s="2" t="s">
        <v>139</v>
      </c>
    </row>
    <row r="10" customFormat="false" ht="15" hidden="false" customHeight="false" outlineLevel="0" collapsed="false">
      <c r="A10" s="6" t="s">
        <v>140</v>
      </c>
      <c r="B10" s="6" t="s">
        <v>141</v>
      </c>
      <c r="C10" s="6" t="s">
        <v>142</v>
      </c>
      <c r="D10" s="0" t="n">
        <v>1</v>
      </c>
      <c r="F10" s="7" t="n">
        <f aca="false">IF(Inputs!$B$5="rtx",D10,IF(E10="",D10,E10))</f>
        <v>1</v>
      </c>
      <c r="G10" s="0" t="n">
        <v>2</v>
      </c>
      <c r="I10" s="7" t="n">
        <f aca="false">F10*G10</f>
        <v>2</v>
      </c>
      <c r="J10" s="2" t="s">
        <v>143</v>
      </c>
    </row>
    <row r="11" customFormat="false" ht="15" hidden="false" customHeight="false" outlineLevel="0" collapsed="false">
      <c r="A11" s="4" t="s">
        <v>144</v>
      </c>
      <c r="F11" s="7" t="n">
        <f aca="false">SUM(F6:F10)</f>
        <v>11.83</v>
      </c>
      <c r="I11" s="7" t="n">
        <f aca="false">SUM(I6:I10)</f>
        <v>9.58</v>
      </c>
    </row>
    <row r="13" customFormat="false" ht="15" hidden="false" customHeight="false" outlineLevel="0" collapsed="false">
      <c r="A13" s="4" t="s">
        <v>145</v>
      </c>
    </row>
    <row r="14" customFormat="false" ht="15" hidden="false" customHeight="false" outlineLevel="0" collapsed="false">
      <c r="A14" s="6" t="s">
        <v>146</v>
      </c>
      <c r="B14" s="6" t="s">
        <v>147</v>
      </c>
      <c r="C14" s="6" t="s">
        <v>148</v>
      </c>
      <c r="D14" s="0" t="n">
        <v>3.08</v>
      </c>
      <c r="E14" s="0" t="n">
        <v>1.75</v>
      </c>
      <c r="F14" s="7" t="n">
        <f aca="false">IF(Inputs!$B$5="rtx",D14,E14)</f>
        <v>1.75</v>
      </c>
      <c r="G14" s="0" t="n">
        <v>2</v>
      </c>
      <c r="H14" s="0" t="s">
        <v>149</v>
      </c>
      <c r="I14" s="7" t="n">
        <f aca="false">F14*G14</f>
        <v>3.5</v>
      </c>
      <c r="J14" s="2" t="s">
        <v>150</v>
      </c>
    </row>
    <row r="15" customFormat="false" ht="15" hidden="false" customHeight="false" outlineLevel="0" collapsed="false">
      <c r="A15" s="6" t="s">
        <v>151</v>
      </c>
      <c r="B15" s="6" t="s">
        <v>152</v>
      </c>
      <c r="C15" s="6" t="s">
        <v>153</v>
      </c>
      <c r="D15" s="0" t="n">
        <v>4.25</v>
      </c>
      <c r="E15" s="0" t="n">
        <v>1.25</v>
      </c>
      <c r="F15" s="7" t="n">
        <f aca="false">IF(Inputs!$B$5="rtx",D15,E15)</f>
        <v>1.25</v>
      </c>
      <c r="G15" s="0" t="n">
        <v>1</v>
      </c>
      <c r="H15" s="0" t="n">
        <v>0.5</v>
      </c>
      <c r="I15" s="7" t="n">
        <f aca="false">F15*G15</f>
        <v>1.25</v>
      </c>
      <c r="J15" s="2" t="s">
        <v>154</v>
      </c>
    </row>
    <row r="16" customFormat="false" ht="15" hidden="false" customHeight="false" outlineLevel="0" collapsed="false">
      <c r="A16" s="6" t="s">
        <v>155</v>
      </c>
      <c r="B16" s="6" t="s">
        <v>156</v>
      </c>
      <c r="C16" s="6" t="s">
        <v>157</v>
      </c>
      <c r="D16" s="0" t="n">
        <v>1.67</v>
      </c>
      <c r="E16" s="0" t="n">
        <v>0.75</v>
      </c>
      <c r="F16" s="7" t="n">
        <f aca="false">IF(Inputs!$B$5="rtx",D16,E16)</f>
        <v>0.75</v>
      </c>
      <c r="G16" s="0" t="n">
        <v>2</v>
      </c>
      <c r="H16" s="0" t="n">
        <v>0.5</v>
      </c>
      <c r="I16" s="7" t="n">
        <f aca="false">F16*G16</f>
        <v>1.5</v>
      </c>
      <c r="J16" s="2" t="s">
        <v>158</v>
      </c>
    </row>
    <row r="17" customFormat="false" ht="15" hidden="false" customHeight="false" outlineLevel="0" collapsed="false">
      <c r="A17" s="6" t="s">
        <v>159</v>
      </c>
      <c r="B17" s="6" t="s">
        <v>160</v>
      </c>
      <c r="C17" s="6" t="s">
        <v>161</v>
      </c>
      <c r="D17" s="0" t="n">
        <v>5.17</v>
      </c>
      <c r="E17" s="0" t="n">
        <v>4</v>
      </c>
      <c r="F17" s="7" t="n">
        <f aca="false">IF(Inputs!$B$5="rtx",D17-4+Inputs!$B$7,Inputs!$B$7)</f>
        <v>4</v>
      </c>
      <c r="G17" s="0" t="n">
        <v>0.5</v>
      </c>
      <c r="H17" s="0" t="n">
        <v>0</v>
      </c>
      <c r="I17" s="7" t="n">
        <f aca="false">F17*G17</f>
        <v>2</v>
      </c>
      <c r="J17" s="2" t="s">
        <v>162</v>
      </c>
    </row>
    <row r="18" customFormat="false" ht="15" hidden="false" customHeight="false" outlineLevel="0" collapsed="false">
      <c r="A18" s="6" t="s">
        <v>163</v>
      </c>
      <c r="B18" s="6" t="s">
        <v>152</v>
      </c>
      <c r="C18" s="6" t="s">
        <v>164</v>
      </c>
      <c r="D18" s="0" t="n">
        <v>2.83</v>
      </c>
      <c r="E18" s="0" t="n">
        <v>1.25</v>
      </c>
      <c r="F18" s="7" t="n">
        <f aca="false">IF(Inputs!$B$5="rtx",D18,E18)</f>
        <v>1.25</v>
      </c>
      <c r="G18" s="0" t="n">
        <v>1</v>
      </c>
      <c r="H18" s="0" t="n">
        <v>0.5</v>
      </c>
      <c r="I18" s="7" t="n">
        <f aca="false">F18*G18</f>
        <v>1.25</v>
      </c>
      <c r="J18" s="2" t="s">
        <v>165</v>
      </c>
    </row>
    <row r="19" customFormat="false" ht="15" hidden="false" customHeight="false" outlineLevel="0" collapsed="false">
      <c r="A19" s="6" t="s">
        <v>166</v>
      </c>
      <c r="B19" s="6" t="s">
        <v>167</v>
      </c>
      <c r="C19" s="6" t="s">
        <v>168</v>
      </c>
      <c r="D19" s="0" t="n">
        <v>3.17</v>
      </c>
      <c r="E19" s="0" t="n">
        <v>1.25</v>
      </c>
      <c r="F19" s="7" t="n">
        <f aca="false">IF(Inputs!$B$5="rtx",D19,E19)</f>
        <v>1.25</v>
      </c>
      <c r="G19" s="0" t="n">
        <v>2</v>
      </c>
      <c r="H19" s="0" t="n">
        <v>0.5</v>
      </c>
      <c r="I19" s="7" t="n">
        <f aca="false">F19*G19</f>
        <v>2.5</v>
      </c>
      <c r="J19" s="2" t="s">
        <v>169</v>
      </c>
    </row>
    <row r="20" customFormat="false" ht="15" hidden="false" customHeight="false" outlineLevel="0" collapsed="false">
      <c r="A20" s="6" t="s">
        <v>170</v>
      </c>
      <c r="B20" s="6" t="s">
        <v>171</v>
      </c>
      <c r="C20" s="6" t="s">
        <v>172</v>
      </c>
      <c r="D20" s="0" t="n">
        <v>0.25</v>
      </c>
      <c r="E20" s="0" t="n">
        <v>0.75</v>
      </c>
      <c r="F20" s="7" t="n">
        <f aca="false">IF(Inputs!$B$5="rtx",D20,E20)</f>
        <v>0.75</v>
      </c>
      <c r="G20" s="0" t="n">
        <v>2</v>
      </c>
      <c r="H20" s="0" t="n">
        <v>0.5</v>
      </c>
      <c r="I20" s="7" t="n">
        <f aca="false">F20*G20</f>
        <v>1.5</v>
      </c>
      <c r="J20" s="2" t="s">
        <v>173</v>
      </c>
    </row>
    <row r="21" customFormat="false" ht="15" hidden="false" customHeight="false" outlineLevel="0" collapsed="false">
      <c r="A21" s="6" t="s">
        <v>174</v>
      </c>
      <c r="B21" s="6" t="s">
        <v>175</v>
      </c>
      <c r="C21" s="6" t="s">
        <v>176</v>
      </c>
      <c r="D21" s="0" t="n">
        <v>0.33</v>
      </c>
      <c r="E21" s="0" t="n">
        <v>1</v>
      </c>
      <c r="F21" s="7" t="n">
        <f aca="false">IF(Inputs!$B$5="rtx",D21,E21)</f>
        <v>1</v>
      </c>
      <c r="G21" s="0" t="n">
        <v>1</v>
      </c>
      <c r="H21" s="0" t="n">
        <v>0.5</v>
      </c>
      <c r="I21" s="7" t="n">
        <f aca="false">F21*G21</f>
        <v>1</v>
      </c>
      <c r="J21" s="2" t="s">
        <v>177</v>
      </c>
    </row>
    <row r="22" customFormat="false" ht="15" hidden="false" customHeight="false" outlineLevel="0" collapsed="false">
      <c r="A22" s="4" t="s">
        <v>178</v>
      </c>
      <c r="D22" s="0" t="n">
        <f aca="false">SUM(D14:D21)</f>
        <v>20.75</v>
      </c>
      <c r="E22" s="0" t="n">
        <f aca="false">SUM(E14:E21)</f>
        <v>12</v>
      </c>
      <c r="F22" s="7" t="n">
        <f aca="false">SUM(F14:F21)</f>
        <v>12</v>
      </c>
      <c r="I22" s="7" t="n">
        <f aca="false">SUM(I14:I21)</f>
        <v>14.5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0"/>
    <col collapsed="false" customWidth="true" hidden="false" outlineLevel="0" max="3" min="2" style="0" width="12"/>
    <col collapsed="false" customWidth="true" hidden="false" outlineLevel="0" max="4" min="4" style="0" width="16"/>
    <col collapsed="false" customWidth="true" hidden="false" outlineLevel="0" max="5" min="5" style="0" width="10"/>
    <col collapsed="false" customWidth="true" hidden="false" outlineLevel="0" max="7" min="6" style="0" width="12"/>
    <col collapsed="false" customWidth="true" hidden="false" outlineLevel="0" max="8" min="8" style="0" width="10"/>
    <col collapsed="false" customWidth="true" hidden="false" outlineLevel="0" max="9" min="9" style="0" width="14"/>
    <col collapsed="false" customWidth="true" hidden="false" outlineLevel="0" max="10" min="10" style="0" width="16"/>
  </cols>
  <sheetData>
    <row r="1" customFormat="false" ht="17.35" hidden="false" customHeight="false" outlineLevel="0" collapsed="false">
      <c r="A1" s="1" t="s">
        <v>179</v>
      </c>
    </row>
    <row r="2" customFormat="false" ht="15" hidden="false" customHeight="false" outlineLevel="0" collapsed="false">
      <c r="A2" s="2" t="s">
        <v>180</v>
      </c>
    </row>
    <row r="4" customFormat="false" ht="29.85" hidden="false" customHeight="false" outlineLevel="0" collapsed="false">
      <c r="A4" s="3" t="s">
        <v>181</v>
      </c>
      <c r="B4" s="3" t="s">
        <v>116</v>
      </c>
      <c r="C4" s="3" t="s">
        <v>182</v>
      </c>
      <c r="D4" s="3" t="s">
        <v>183</v>
      </c>
      <c r="E4" s="3" t="s">
        <v>184</v>
      </c>
      <c r="F4" s="3" t="s">
        <v>185</v>
      </c>
      <c r="G4" s="3" t="s">
        <v>186</v>
      </c>
      <c r="H4" s="3" t="s">
        <v>187</v>
      </c>
      <c r="I4" s="3" t="s">
        <v>188</v>
      </c>
      <c r="J4" s="3" t="s">
        <v>189</v>
      </c>
    </row>
    <row r="5" customFormat="false" ht="15" hidden="false" customHeight="false" outlineLevel="0" collapsed="false">
      <c r="A5" s="6" t="s">
        <v>146</v>
      </c>
      <c r="B5" s="6" t="s">
        <v>147</v>
      </c>
      <c r="C5" s="7" t="n">
        <f aca="false">Process!F14</f>
        <v>1.75</v>
      </c>
      <c r="D5" s="7" t="n">
        <v>0</v>
      </c>
      <c r="E5" s="7" t="n">
        <f aca="false">D5+C5</f>
        <v>1.75</v>
      </c>
      <c r="F5" s="7" t="str">
        <f aca="false">TEXT(MOD(Inputs!$B$24+D5,24)/24,"hh:mm")&amp;IF(Inputs!$B$24+D5&gt;=24," +1","")</f>
        <v>06:00</v>
      </c>
      <c r="G5" s="7" t="str">
        <f aca="false">TEXT(MOD(Inputs!$B$24+E5,24)/24,"hh:mm")&amp;IF(Inputs!$B$24+E5&gt;=24," +1","")</f>
        <v>07:45</v>
      </c>
      <c r="H5" s="0" t="n">
        <f aca="false">Process!G14</f>
        <v>2</v>
      </c>
      <c r="I5" s="7" t="n">
        <f aca="false">C5*H5</f>
        <v>3.5</v>
      </c>
      <c r="J5" s="0" t="str">
        <f aca="false">Process!H14</f>
        <v>none</v>
      </c>
    </row>
    <row r="6" customFormat="false" ht="15" hidden="false" customHeight="false" outlineLevel="0" collapsed="false">
      <c r="A6" s="6" t="s">
        <v>151</v>
      </c>
      <c r="B6" s="6" t="s">
        <v>152</v>
      </c>
      <c r="C6" s="7" t="n">
        <f aca="false">Process!F15</f>
        <v>1.25</v>
      </c>
      <c r="D6" s="7" t="n">
        <f aca="false">E5</f>
        <v>1.75</v>
      </c>
      <c r="E6" s="7" t="n">
        <f aca="false">D6+C6</f>
        <v>3</v>
      </c>
      <c r="F6" s="7" t="str">
        <f aca="false">TEXT(MOD(Inputs!$B$24+D6,24)/24,"hh:mm")&amp;IF(Inputs!$B$24+D6&gt;=24," +1","")</f>
        <v>07:45</v>
      </c>
      <c r="G6" s="7" t="str">
        <f aca="false">TEXT(MOD(Inputs!$B$24+E6,24)/24,"hh:mm")&amp;IF(Inputs!$B$24+E6&gt;=24," +1","")</f>
        <v>09:00</v>
      </c>
      <c r="H6" s="0" t="n">
        <f aca="false">Process!G15</f>
        <v>1</v>
      </c>
      <c r="I6" s="7" t="n">
        <f aca="false">C6*H6</f>
        <v>1.25</v>
      </c>
      <c r="J6" s="0" t="n">
        <f aca="false">Process!H15</f>
        <v>0.5</v>
      </c>
    </row>
    <row r="7" customFormat="false" ht="15" hidden="false" customHeight="false" outlineLevel="0" collapsed="false">
      <c r="A7" s="6" t="s">
        <v>155</v>
      </c>
      <c r="B7" s="6" t="s">
        <v>156</v>
      </c>
      <c r="C7" s="7" t="n">
        <f aca="false">Process!F16</f>
        <v>0.75</v>
      </c>
      <c r="D7" s="7" t="n">
        <f aca="false">E6</f>
        <v>3</v>
      </c>
      <c r="E7" s="7" t="n">
        <f aca="false">D7+C7</f>
        <v>3.75</v>
      </c>
      <c r="F7" s="7" t="str">
        <f aca="false">TEXT(MOD(Inputs!$B$24+D7,24)/24,"hh:mm")&amp;IF(Inputs!$B$24+D7&gt;=24," +1","")</f>
        <v>09:00</v>
      </c>
      <c r="G7" s="7" t="str">
        <f aca="false">TEXT(MOD(Inputs!$B$24+E7,24)/24,"hh:mm")&amp;IF(Inputs!$B$24+E7&gt;=24," +1","")</f>
        <v>09:45</v>
      </c>
      <c r="H7" s="0" t="n">
        <f aca="false">Process!G16</f>
        <v>2</v>
      </c>
      <c r="I7" s="7" t="n">
        <f aca="false">C7*H7</f>
        <v>1.5</v>
      </c>
      <c r="J7" s="0" t="n">
        <f aca="false">Process!H16</f>
        <v>0.5</v>
      </c>
    </row>
    <row r="8" customFormat="false" ht="15" hidden="false" customHeight="false" outlineLevel="0" collapsed="false">
      <c r="A8" s="6" t="s">
        <v>159</v>
      </c>
      <c r="B8" s="6" t="s">
        <v>160</v>
      </c>
      <c r="C8" s="7" t="n">
        <f aca="false">Process!F17</f>
        <v>4</v>
      </c>
      <c r="D8" s="7" t="n">
        <f aca="false">E7</f>
        <v>3.75</v>
      </c>
      <c r="E8" s="7" t="n">
        <f aca="false">D8+C8</f>
        <v>7.75</v>
      </c>
      <c r="F8" s="7" t="str">
        <f aca="false">TEXT(MOD(Inputs!$B$24+D8,24)/24,"hh:mm")&amp;IF(Inputs!$B$24+D8&gt;=24," +1","")</f>
        <v>09:45</v>
      </c>
      <c r="G8" s="7" t="str">
        <f aca="false">TEXT(MOD(Inputs!$B$24+E8,24)/24,"hh:mm")&amp;IF(Inputs!$B$24+E8&gt;=24," +1","")</f>
        <v>13:45</v>
      </c>
      <c r="H8" s="0" t="n">
        <f aca="false">Process!G17</f>
        <v>0.5</v>
      </c>
      <c r="I8" s="7" t="n">
        <f aca="false">C8*H8</f>
        <v>2</v>
      </c>
      <c r="J8" s="0" t="n">
        <f aca="false">Process!H17</f>
        <v>0</v>
      </c>
    </row>
    <row r="9" customFormat="false" ht="15" hidden="false" customHeight="false" outlineLevel="0" collapsed="false">
      <c r="A9" s="6" t="s">
        <v>163</v>
      </c>
      <c r="B9" s="6" t="s">
        <v>152</v>
      </c>
      <c r="C9" s="7" t="n">
        <f aca="false">Process!F18</f>
        <v>1.25</v>
      </c>
      <c r="D9" s="7" t="n">
        <f aca="false">E8</f>
        <v>7.75</v>
      </c>
      <c r="E9" s="7" t="n">
        <f aca="false">D9+C9</f>
        <v>9</v>
      </c>
      <c r="F9" s="7" t="str">
        <f aca="false">TEXT(MOD(Inputs!$B$24+D9,24)/24,"hh:mm")&amp;IF(Inputs!$B$24+D9&gt;=24," +1","")</f>
        <v>13:45</v>
      </c>
      <c r="G9" s="7" t="str">
        <f aca="false">TEXT(MOD(Inputs!$B$24+E9,24)/24,"hh:mm")&amp;IF(Inputs!$B$24+E9&gt;=24," +1","")</f>
        <v>15:00</v>
      </c>
      <c r="H9" s="0" t="n">
        <f aca="false">Process!G18</f>
        <v>1</v>
      </c>
      <c r="I9" s="7" t="n">
        <f aca="false">C9*H9</f>
        <v>1.25</v>
      </c>
      <c r="J9" s="0" t="n">
        <f aca="false">Process!H18</f>
        <v>0.5</v>
      </c>
    </row>
    <row r="10" customFormat="false" ht="15" hidden="false" customHeight="false" outlineLevel="0" collapsed="false">
      <c r="A10" s="6" t="s">
        <v>166</v>
      </c>
      <c r="B10" s="6" t="s">
        <v>167</v>
      </c>
      <c r="C10" s="7" t="n">
        <f aca="false">Process!F19</f>
        <v>1.25</v>
      </c>
      <c r="D10" s="7" t="n">
        <f aca="false">E9</f>
        <v>9</v>
      </c>
      <c r="E10" s="7" t="n">
        <f aca="false">D10+C10</f>
        <v>10.25</v>
      </c>
      <c r="F10" s="7" t="str">
        <f aca="false">TEXT(MOD(Inputs!$B$24+D10,24)/24,"hh:mm")&amp;IF(Inputs!$B$24+D10&gt;=24," +1","")</f>
        <v>15:00</v>
      </c>
      <c r="G10" s="7" t="str">
        <f aca="false">TEXT(MOD(Inputs!$B$24+E10,24)/24,"hh:mm")&amp;IF(Inputs!$B$24+E10&gt;=24," +1","")</f>
        <v>16:15</v>
      </c>
      <c r="H10" s="0" t="n">
        <f aca="false">Process!G19</f>
        <v>2</v>
      </c>
      <c r="I10" s="7" t="n">
        <f aca="false">C10*H10</f>
        <v>2.5</v>
      </c>
      <c r="J10" s="0" t="n">
        <f aca="false">Process!H19</f>
        <v>0.5</v>
      </c>
    </row>
    <row r="11" customFormat="false" ht="15" hidden="false" customHeight="false" outlineLevel="0" collapsed="false">
      <c r="A11" s="6" t="s">
        <v>170</v>
      </c>
      <c r="B11" s="6" t="s">
        <v>171</v>
      </c>
      <c r="C11" s="7" t="n">
        <f aca="false">Process!F20</f>
        <v>0.75</v>
      </c>
      <c r="D11" s="7" t="n">
        <f aca="false">E10</f>
        <v>10.25</v>
      </c>
      <c r="E11" s="7" t="n">
        <f aca="false">D11+C11</f>
        <v>11</v>
      </c>
      <c r="F11" s="7" t="str">
        <f aca="false">TEXT(MOD(Inputs!$B$24+D11,24)/24,"hh:mm")&amp;IF(Inputs!$B$24+D11&gt;=24," +1","")</f>
        <v>16:15</v>
      </c>
      <c r="G11" s="7" t="str">
        <f aca="false">TEXT(MOD(Inputs!$B$24+E11,24)/24,"hh:mm")&amp;IF(Inputs!$B$24+E11&gt;=24," +1","")</f>
        <v>17:00</v>
      </c>
      <c r="H11" s="0" t="n">
        <f aca="false">Process!G20</f>
        <v>2</v>
      </c>
      <c r="I11" s="7" t="n">
        <f aca="false">C11*H11</f>
        <v>1.5</v>
      </c>
      <c r="J11" s="0" t="n">
        <f aca="false">Process!H20</f>
        <v>0.5</v>
      </c>
    </row>
    <row r="12" customFormat="false" ht="15" hidden="false" customHeight="false" outlineLevel="0" collapsed="false">
      <c r="A12" s="6" t="s">
        <v>174</v>
      </c>
      <c r="B12" s="6" t="s">
        <v>175</v>
      </c>
      <c r="C12" s="7" t="n">
        <f aca="false">Process!F21</f>
        <v>1</v>
      </c>
      <c r="D12" s="7" t="n">
        <f aca="false">E11</f>
        <v>11</v>
      </c>
      <c r="E12" s="7" t="n">
        <f aca="false">D12+C12</f>
        <v>12</v>
      </c>
      <c r="F12" s="7" t="str">
        <f aca="false">TEXT(MOD(Inputs!$B$24+D12,24)/24,"hh:mm")&amp;IF(Inputs!$B$24+D12&gt;=24," +1","")</f>
        <v>17:00</v>
      </c>
      <c r="G12" s="7" t="str">
        <f aca="false">TEXT(MOD(Inputs!$B$24+E12,24)/24,"hh:mm")&amp;IF(Inputs!$B$24+E12&gt;=24," +1","")</f>
        <v>18:00</v>
      </c>
      <c r="H12" s="0" t="n">
        <f aca="false">Process!G21</f>
        <v>1</v>
      </c>
      <c r="I12" s="7" t="n">
        <f aca="false">C12*H12</f>
        <v>1</v>
      </c>
      <c r="J12" s="0" t="n">
        <f aca="false">Process!H21</f>
        <v>0.5</v>
      </c>
    </row>
    <row r="13" customFormat="false" ht="15" hidden="false" customHeight="false" outlineLevel="0" collapsed="false">
      <c r="A13" s="4" t="s">
        <v>190</v>
      </c>
      <c r="C13" s="7" t="n">
        <f aca="false">SUM(C5:C12)</f>
        <v>12</v>
      </c>
      <c r="H13" s="4" t="s">
        <v>188</v>
      </c>
      <c r="I13" s="7" t="n">
        <f aca="false">SUM(I5:I12)</f>
        <v>14.5</v>
      </c>
    </row>
    <row r="14" customFormat="false" ht="15" hidden="false" customHeight="false" outlineLevel="0" collapsed="false">
      <c r="A14" s="4" t="s">
        <v>191</v>
      </c>
      <c r="C14" s="7" t="n">
        <f aca="false">ROUNDUP('Day4'!$C$13/12,0)</f>
        <v>1</v>
      </c>
    </row>
    <row r="15" customFormat="false" ht="15" hidden="false" customHeight="false" outlineLevel="0" collapsed="false">
      <c r="A15" s="4" t="s">
        <v>192</v>
      </c>
      <c r="C15" s="7" t="n">
        <f aca="false">Inputs!$B$8</f>
        <v>11.33</v>
      </c>
    </row>
    <row r="16" customFormat="false" ht="15" hidden="false" customHeight="false" outlineLevel="0" collapsed="false">
      <c r="A16" s="4" t="s">
        <v>193</v>
      </c>
      <c r="C16" s="7" t="n">
        <f aca="false">Process!I5+Process!I11+Process!I22</f>
        <v>27.08</v>
      </c>
    </row>
    <row r="18" customFormat="false" ht="15" hidden="false" customHeight="false" outlineLevel="0" collapsed="false">
      <c r="A18" s="2" t="s">
        <v>194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10"/>
    <col collapsed="false" customWidth="true" hidden="false" outlineLevel="0" max="4" min="4" style="0" width="6"/>
    <col collapsed="false" customWidth="true" hidden="false" outlineLevel="0" max="6" min="5" style="0" width="10"/>
    <col collapsed="false" customWidth="true" hidden="false" outlineLevel="0" max="7" min="7" style="0" width="14"/>
    <col collapsed="false" customWidth="true" hidden="false" outlineLevel="0" max="8" min="8" style="0" width="12"/>
    <col collapsed="false" customWidth="true" hidden="false" outlineLevel="0" max="10" min="9" style="0" width="14"/>
    <col collapsed="false" customWidth="true" hidden="false" outlineLevel="0" max="13" min="11" style="0" width="12"/>
    <col collapsed="false" customWidth="true" hidden="false" outlineLevel="0" max="15" min="14" style="0" width="14"/>
    <col collapsed="false" customWidth="true" hidden="false" outlineLevel="0" max="20" min="16" style="0" width="12"/>
    <col collapsed="false" customWidth="true" hidden="false" outlineLevel="0" max="23" min="21" style="0" width="14"/>
    <col collapsed="false" customWidth="true" hidden="false" outlineLevel="0" max="25" min="24" style="0" width="10"/>
    <col collapsed="false" customWidth="true" hidden="false" outlineLevel="0" max="26" min="26" style="0" width="50"/>
    <col collapsed="false" customWidth="true" hidden="false" outlineLevel="0" max="27" min="27" style="0" width="70"/>
  </cols>
  <sheetData>
    <row r="1" customFormat="false" ht="17.35" hidden="false" customHeight="false" outlineLevel="0" collapsed="false">
      <c r="A1" s="1" t="s">
        <v>195</v>
      </c>
    </row>
    <row r="2" customFormat="false" ht="15" hidden="false" customHeight="false" outlineLevel="0" collapsed="false">
      <c r="A2" s="2" t="s">
        <v>196</v>
      </c>
    </row>
    <row r="4" customFormat="false" ht="58.2" hidden="false" customHeight="false" outlineLevel="0" collapsed="false">
      <c r="A4" s="3" t="s">
        <v>197</v>
      </c>
      <c r="B4" s="3" t="s">
        <v>198</v>
      </c>
      <c r="C4" s="3" t="s">
        <v>199</v>
      </c>
      <c r="D4" s="3" t="s">
        <v>200</v>
      </c>
      <c r="E4" s="3" t="s">
        <v>201</v>
      </c>
      <c r="F4" s="3" t="s">
        <v>202</v>
      </c>
      <c r="G4" s="3" t="s">
        <v>203</v>
      </c>
      <c r="H4" s="3" t="s">
        <v>204</v>
      </c>
      <c r="I4" s="3" t="s">
        <v>205</v>
      </c>
      <c r="J4" s="3" t="s">
        <v>206</v>
      </c>
      <c r="K4" s="3" t="s">
        <v>207</v>
      </c>
      <c r="L4" s="3" t="s">
        <v>208</v>
      </c>
      <c r="M4" s="3" t="s">
        <v>209</v>
      </c>
      <c r="N4" s="3" t="s">
        <v>210</v>
      </c>
      <c r="O4" s="3" t="s">
        <v>211</v>
      </c>
      <c r="P4" s="3" t="s">
        <v>212</v>
      </c>
      <c r="Q4" s="3" t="s">
        <v>213</v>
      </c>
      <c r="R4" s="3" t="s">
        <v>214</v>
      </c>
      <c r="S4" s="3" t="s">
        <v>215</v>
      </c>
      <c r="T4" s="3" t="s">
        <v>216</v>
      </c>
      <c r="U4" s="3" t="s">
        <v>217</v>
      </c>
      <c r="V4" s="3" t="s">
        <v>218</v>
      </c>
      <c r="W4" s="3" t="s">
        <v>219</v>
      </c>
      <c r="X4" s="3" t="s">
        <v>220</v>
      </c>
      <c r="Y4" s="3" t="s">
        <v>221</v>
      </c>
      <c r="Z4" s="3" t="s">
        <v>222</v>
      </c>
      <c r="AA4" s="3" t="s">
        <v>223</v>
      </c>
    </row>
    <row r="5" customFormat="false" ht="15" hidden="false" customHeight="false" outlineLevel="0" collapsed="false">
      <c r="A5" s="4" t="s">
        <v>224</v>
      </c>
      <c r="B5" s="0" t="s">
        <v>225</v>
      </c>
      <c r="C5" s="0" t="n">
        <v>300</v>
      </c>
      <c r="D5" s="8" t="n">
        <v>2</v>
      </c>
      <c r="E5" s="8" t="n">
        <v>1</v>
      </c>
      <c r="F5" s="7" t="n">
        <f aca="false">D5*E5</f>
        <v>2</v>
      </c>
      <c r="G5" s="8" t="n">
        <v>6</v>
      </c>
      <c r="H5" s="7" t="n">
        <f aca="false">INT(F5*Inputs!$B$9/Inputs!$B$8)</f>
        <v>4</v>
      </c>
      <c r="I5" s="9" t="n">
        <v>4</v>
      </c>
      <c r="J5" s="9" t="n">
        <v>1</v>
      </c>
      <c r="K5" s="7" t="n">
        <f aca="false">IF(Inputs!$B$5="rtx",J5,I5)</f>
        <v>4</v>
      </c>
      <c r="L5" s="7" t="n">
        <f aca="false">(IF(Inputs!$B$13=1,ROUNDUP(Inputs!$B$10/Inputs!$B$11,0)/Inputs!$B$12,ROUNDUP(Inputs!$B$10/(Inputs!$B$11*Inputs!$B$12),0))*Inputs!$B$16+IF(Inputs!$B$13=1,ROUNDUP(Inputs!$B$14/Inputs!$B$11,0)/Inputs!$B$12,1)*Inputs!$B$7/24)</f>
        <v>5.16666666666667</v>
      </c>
      <c r="M5" s="7" t="n">
        <f aca="false">IF(G5="","",INT(G5/L5))</f>
        <v>1</v>
      </c>
      <c r="N5" s="7" t="n">
        <f aca="false">IF(M5="",MIN(F5,K5),MIN(F5,K5,M5))</f>
        <v>1</v>
      </c>
      <c r="O5" s="7" t="n">
        <f aca="false">IF(M5="",MIN(H5,K5),MIN(H5,K5,M5))</f>
        <v>1</v>
      </c>
      <c r="P5" s="7" t="n">
        <f aca="false">N5*Inputs!$B$21</f>
        <v>250</v>
      </c>
      <c r="Q5" s="7" t="n">
        <f aca="false">N5*Inputs!$B$22</f>
        <v>336</v>
      </c>
      <c r="R5" s="7" t="n">
        <f aca="false">O5*Inputs!$B$21</f>
        <v>250</v>
      </c>
      <c r="S5" s="7" t="n">
        <f aca="false">O5*Inputs!$B$22</f>
        <v>336</v>
      </c>
      <c r="T5" s="7" t="n">
        <f aca="false">ROUNDUP(N5*L5,0)</f>
        <v>6</v>
      </c>
      <c r="U5" s="7" t="n">
        <f aca="false">ROUNDUP(N5*7*Inputs!$B$19,0)</f>
        <v>6</v>
      </c>
      <c r="V5" s="7" t="n">
        <f aca="false">ROUNDUP(N5*5*Inputs!$B$19,0)</f>
        <v>4</v>
      </c>
      <c r="W5" s="7" t="n">
        <f aca="false">ROUND(N5*7*'Day4'!$C$16/Inputs!$B$20,1)</f>
        <v>4.7</v>
      </c>
      <c r="X5" s="7" t="n">
        <f aca="false">ROUNDUP(N5*7*Inputs!$B$17/Inputs!$B$18,0)</f>
        <v>10</v>
      </c>
      <c r="Y5" s="7" t="n">
        <f aca="false">ROUNDUP(N5*5*Inputs!$B$17/Inputs!$B$18,0)</f>
        <v>7</v>
      </c>
      <c r="Z5" s="2" t="s">
        <v>226</v>
      </c>
      <c r="AA5" s="2" t="s">
        <v>227</v>
      </c>
    </row>
    <row r="6" customFormat="false" ht="15" hidden="false" customHeight="false" outlineLevel="0" collapsed="false">
      <c r="A6" s="4" t="s">
        <v>228</v>
      </c>
      <c r="B6" s="0" t="s">
        <v>229</v>
      </c>
      <c r="C6" s="0" t="n">
        <v>1292</v>
      </c>
      <c r="D6" s="8" t="n">
        <v>1</v>
      </c>
      <c r="E6" s="8" t="n">
        <v>5</v>
      </c>
      <c r="F6" s="7" t="n">
        <f aca="false">D6*E6</f>
        <v>5</v>
      </c>
      <c r="G6" s="8" t="n">
        <v>25</v>
      </c>
      <c r="H6" s="7" t="n">
        <f aca="false">INT(F6*Inputs!$B$9/Inputs!$B$8)</f>
        <v>10</v>
      </c>
      <c r="I6" s="9" t="n">
        <v>10</v>
      </c>
      <c r="J6" s="9" t="n">
        <v>3</v>
      </c>
      <c r="K6" s="7" t="n">
        <f aca="false">IF(Inputs!$B$5="rtx",J6,I6)</f>
        <v>10</v>
      </c>
      <c r="L6" s="7" t="n">
        <f aca="false">(IF(Inputs!$B$13=1,ROUNDUP(Inputs!$B$10/Inputs!$B$11,0)/Inputs!$B$12,ROUNDUP(Inputs!$B$10/(Inputs!$B$11*Inputs!$B$12),0))*Inputs!$B$16+IF(Inputs!$B$13=1,ROUNDUP(Inputs!$B$14/Inputs!$B$11,0)/Inputs!$B$12,1)*Inputs!$B$7/24)</f>
        <v>5.16666666666667</v>
      </c>
      <c r="M6" s="7" t="n">
        <f aca="false">IF(G6="","",INT(G6/L6))</f>
        <v>4</v>
      </c>
      <c r="N6" s="7" t="n">
        <f aca="false">IF(M6="",MIN(F6,K6),MIN(F6,K6,M6))</f>
        <v>4</v>
      </c>
      <c r="O6" s="7" t="n">
        <f aca="false">IF(M6="",MIN(H6,K6),MIN(H6,K6,M6))</f>
        <v>4</v>
      </c>
      <c r="P6" s="7" t="n">
        <f aca="false">N6*Inputs!$B$21</f>
        <v>1000</v>
      </c>
      <c r="Q6" s="7" t="n">
        <f aca="false">N6*Inputs!$B$22</f>
        <v>1344</v>
      </c>
      <c r="R6" s="7" t="n">
        <f aca="false">O6*Inputs!$B$21</f>
        <v>1000</v>
      </c>
      <c r="S6" s="7" t="n">
        <f aca="false">O6*Inputs!$B$22</f>
        <v>1344</v>
      </c>
      <c r="T6" s="7" t="n">
        <f aca="false">ROUNDUP(N6*L6,0)</f>
        <v>21</v>
      </c>
      <c r="U6" s="7" t="n">
        <f aca="false">ROUNDUP(N6*7*Inputs!$B$19,0)</f>
        <v>23</v>
      </c>
      <c r="V6" s="7" t="n">
        <f aca="false">ROUNDUP(N6*5*Inputs!$B$19,0)</f>
        <v>16</v>
      </c>
      <c r="W6" s="7" t="n">
        <f aca="false">ROUND(N6*7*'Day4'!$C$16/Inputs!$B$20,1)</f>
        <v>19</v>
      </c>
      <c r="X6" s="7" t="n">
        <f aca="false">ROUNDUP(N6*7*Inputs!$B$17/Inputs!$B$18,0)</f>
        <v>38</v>
      </c>
      <c r="Y6" s="7" t="n">
        <f aca="false">ROUNDUP(N6*5*Inputs!$B$17/Inputs!$B$18,0)</f>
        <v>27</v>
      </c>
      <c r="Z6" s="2" t="s">
        <v>230</v>
      </c>
      <c r="AA6" s="2" t="s">
        <v>231</v>
      </c>
    </row>
    <row r="7" customFormat="false" ht="15" hidden="false" customHeight="false" outlineLevel="0" collapsed="false">
      <c r="A7" s="4" t="s">
        <v>232</v>
      </c>
      <c r="B7" s="0" t="s">
        <v>233</v>
      </c>
      <c r="C7" s="0" t="n">
        <v>46000</v>
      </c>
      <c r="D7" s="8" t="n">
        <v>4</v>
      </c>
      <c r="E7" s="8" t="n">
        <v>10</v>
      </c>
      <c r="F7" s="7" t="n">
        <f aca="false">D7*E7</f>
        <v>40</v>
      </c>
      <c r="G7" s="8"/>
      <c r="H7" s="7" t="n">
        <f aca="false">INT(F7*Inputs!$B$9/Inputs!$B$8)</f>
        <v>84</v>
      </c>
      <c r="I7" s="9" t="n">
        <v>73</v>
      </c>
      <c r="J7" s="9" t="n">
        <v>20</v>
      </c>
      <c r="K7" s="7" t="n">
        <f aca="false">IF(Inputs!$B$5="rtx",J7,I7)</f>
        <v>73</v>
      </c>
      <c r="L7" s="7" t="n">
        <f aca="false">(IF(Inputs!$B$13=1,ROUNDUP(Inputs!$B$10/Inputs!$B$11,0)/Inputs!$B$12,ROUNDUP(Inputs!$B$10/(Inputs!$B$11*Inputs!$B$12),0))*Inputs!$B$16+IF(Inputs!$B$13=1,ROUNDUP(Inputs!$B$14/Inputs!$B$11,0)/Inputs!$B$12,1)*Inputs!$B$7/24)</f>
        <v>5.16666666666667</v>
      </c>
      <c r="M7" s="7" t="str">
        <f aca="false">IF(G7="","",INT(G7/L7))</f>
        <v/>
      </c>
      <c r="N7" s="7" t="n">
        <f aca="false">IF(M7="",MIN(F7,K7),MIN(F7,K7,M7))</f>
        <v>40</v>
      </c>
      <c r="O7" s="7" t="n">
        <f aca="false">IF(M7="",MIN(H7,K7),MIN(H7,K7,M7))</f>
        <v>73</v>
      </c>
      <c r="P7" s="7" t="n">
        <f aca="false">N7*Inputs!$B$21</f>
        <v>10000</v>
      </c>
      <c r="Q7" s="7" t="n">
        <f aca="false">N7*Inputs!$B$22</f>
        <v>13440</v>
      </c>
      <c r="R7" s="7" t="n">
        <f aca="false">O7*Inputs!$B$21</f>
        <v>18250</v>
      </c>
      <c r="S7" s="7" t="n">
        <f aca="false">O7*Inputs!$B$22</f>
        <v>24528</v>
      </c>
      <c r="T7" s="7" t="n">
        <f aca="false">ROUNDUP(N7*L7,0)</f>
        <v>207</v>
      </c>
      <c r="U7" s="7" t="n">
        <f aca="false">ROUNDUP(N7*7*Inputs!$B$19,0)</f>
        <v>224</v>
      </c>
      <c r="V7" s="7" t="n">
        <f aca="false">ROUNDUP(N7*5*Inputs!$B$19,0)</f>
        <v>160</v>
      </c>
      <c r="W7" s="7" t="n">
        <f aca="false">ROUND(N7*7*'Day4'!$C$16/Inputs!$B$20,1)</f>
        <v>189.6</v>
      </c>
      <c r="X7" s="7" t="n">
        <f aca="false">ROUNDUP(N7*7*Inputs!$B$17/Inputs!$B$18,0)</f>
        <v>371</v>
      </c>
      <c r="Y7" s="7" t="n">
        <f aca="false">ROUNDUP(N7*5*Inputs!$B$17/Inputs!$B$18,0)</f>
        <v>265</v>
      </c>
      <c r="Z7" s="2" t="s">
        <v>234</v>
      </c>
      <c r="AA7" s="2" t="s">
        <v>235</v>
      </c>
    </row>
    <row r="8" customFormat="false" ht="15" hidden="false" customHeight="false" outlineLevel="0" collapsed="false">
      <c r="A8" s="4" t="s">
        <v>236</v>
      </c>
      <c r="B8" s="0" t="s">
        <v>237</v>
      </c>
      <c r="C8" s="0" t="n">
        <v>8900</v>
      </c>
      <c r="D8" s="8" t="n">
        <v>1</v>
      </c>
      <c r="E8" s="8" t="n">
        <v>8</v>
      </c>
      <c r="F8" s="7" t="n">
        <f aca="false">D8*E8</f>
        <v>8</v>
      </c>
      <c r="G8" s="8"/>
      <c r="H8" s="7" t="n">
        <f aca="false">INT(F8*Inputs!$B$9/Inputs!$B$8)</f>
        <v>16</v>
      </c>
      <c r="I8" s="9" t="n">
        <v>15</v>
      </c>
      <c r="J8" s="9" t="n">
        <v>4</v>
      </c>
      <c r="K8" s="7" t="n">
        <f aca="false">IF(Inputs!$B$5="rtx",J8,I8)</f>
        <v>15</v>
      </c>
      <c r="L8" s="7" t="n">
        <f aca="false">(IF(Inputs!$B$13=1,ROUNDUP(Inputs!$B$10/Inputs!$B$11,0)/Inputs!$B$12,ROUNDUP(Inputs!$B$10/(Inputs!$B$11*Inputs!$B$12),0))*Inputs!$B$16+IF(Inputs!$B$13=1,ROUNDUP(Inputs!$B$14/Inputs!$B$11,0)/Inputs!$B$12,1)*Inputs!$B$7/24)</f>
        <v>5.16666666666667</v>
      </c>
      <c r="M8" s="7" t="str">
        <f aca="false">IF(G8="","",INT(G8/L8))</f>
        <v/>
      </c>
      <c r="N8" s="7" t="n">
        <f aca="false">IF(M8="",MIN(F8,K8),MIN(F8,K8,M8))</f>
        <v>8</v>
      </c>
      <c r="O8" s="7" t="n">
        <f aca="false">IF(M8="",MIN(H8,K8),MIN(H8,K8,M8))</f>
        <v>15</v>
      </c>
      <c r="P8" s="7" t="n">
        <f aca="false">N8*Inputs!$B$21</f>
        <v>2000</v>
      </c>
      <c r="Q8" s="7" t="n">
        <f aca="false">N8*Inputs!$B$22</f>
        <v>2688</v>
      </c>
      <c r="R8" s="7" t="n">
        <f aca="false">O8*Inputs!$B$21</f>
        <v>3750</v>
      </c>
      <c r="S8" s="7" t="n">
        <f aca="false">O8*Inputs!$B$22</f>
        <v>5040</v>
      </c>
      <c r="T8" s="7" t="n">
        <f aca="false">ROUNDUP(N8*L8,0)</f>
        <v>42</v>
      </c>
      <c r="U8" s="7" t="n">
        <f aca="false">ROUNDUP(N8*7*Inputs!$B$19,0)</f>
        <v>45</v>
      </c>
      <c r="V8" s="7" t="n">
        <f aca="false">ROUNDUP(N8*5*Inputs!$B$19,0)</f>
        <v>32</v>
      </c>
      <c r="W8" s="7" t="n">
        <f aca="false">ROUND(N8*7*'Day4'!$C$16/Inputs!$B$20,1)</f>
        <v>37.9</v>
      </c>
      <c r="X8" s="7" t="n">
        <f aca="false">ROUNDUP(N8*7*Inputs!$B$17/Inputs!$B$18,0)</f>
        <v>75</v>
      </c>
      <c r="Y8" s="7" t="n">
        <f aca="false">ROUNDUP(N8*5*Inputs!$B$17/Inputs!$B$18,0)</f>
        <v>53</v>
      </c>
      <c r="Z8" s="2" t="s">
        <v>238</v>
      </c>
      <c r="AA8" s="2" t="s">
        <v>239</v>
      </c>
    </row>
    <row r="9" customFormat="false" ht="15" hidden="false" customHeight="false" outlineLevel="0" collapsed="false">
      <c r="A9" s="4" t="s">
        <v>240</v>
      </c>
      <c r="B9" s="0" t="s">
        <v>241</v>
      </c>
      <c r="C9" s="0" t="n">
        <v>30000</v>
      </c>
      <c r="D9" s="8" t="n">
        <v>8</v>
      </c>
      <c r="E9" s="8" t="n">
        <v>8</v>
      </c>
      <c r="F9" s="7" t="n">
        <f aca="false">D9*E9</f>
        <v>64</v>
      </c>
      <c r="G9" s="8"/>
      <c r="H9" s="7" t="n">
        <f aca="false">INT(F9*Inputs!$B$9/Inputs!$B$8)</f>
        <v>135</v>
      </c>
      <c r="I9" s="9" t="n">
        <v>116</v>
      </c>
      <c r="J9" s="9" t="n">
        <v>32</v>
      </c>
      <c r="K9" s="7" t="n">
        <f aca="false">IF(Inputs!$B$5="rtx",J9,I9)</f>
        <v>116</v>
      </c>
      <c r="L9" s="7" t="n">
        <f aca="false">(IF(Inputs!$B$13=1,ROUNDUP(Inputs!$B$10/Inputs!$B$11,0)/Inputs!$B$12,ROUNDUP(Inputs!$B$10/(Inputs!$B$11*Inputs!$B$12),0))*Inputs!$B$16+IF(Inputs!$B$13=1,ROUNDUP(Inputs!$B$14/Inputs!$B$11,0)/Inputs!$B$12,1)*Inputs!$B$7/24)</f>
        <v>5.16666666666667</v>
      </c>
      <c r="M9" s="7" t="str">
        <f aca="false">IF(G9="","",INT(G9/L9))</f>
        <v/>
      </c>
      <c r="N9" s="7" t="n">
        <f aca="false">IF(M9="",MIN(F9,K9),MIN(F9,K9,M9))</f>
        <v>64</v>
      </c>
      <c r="O9" s="7" t="n">
        <f aca="false">IF(M9="",MIN(H9,K9),MIN(H9,K9,M9))</f>
        <v>116</v>
      </c>
      <c r="P9" s="7" t="n">
        <f aca="false">N9*Inputs!$B$21</f>
        <v>16000</v>
      </c>
      <c r="Q9" s="7" t="n">
        <f aca="false">N9*Inputs!$B$22</f>
        <v>21504</v>
      </c>
      <c r="R9" s="7" t="n">
        <f aca="false">O9*Inputs!$B$21</f>
        <v>29000</v>
      </c>
      <c r="S9" s="7" t="n">
        <f aca="false">O9*Inputs!$B$22</f>
        <v>38976</v>
      </c>
      <c r="T9" s="7" t="n">
        <f aca="false">ROUNDUP(N9*L9,0)</f>
        <v>331</v>
      </c>
      <c r="U9" s="7" t="n">
        <f aca="false">ROUNDUP(N9*7*Inputs!$B$19,0)</f>
        <v>359</v>
      </c>
      <c r="V9" s="7" t="n">
        <f aca="false">ROUNDUP(N9*5*Inputs!$B$19,0)</f>
        <v>256</v>
      </c>
      <c r="W9" s="7" t="n">
        <f aca="false">ROUND(N9*7*'Day4'!$C$16/Inputs!$B$20,1)</f>
        <v>303.3</v>
      </c>
      <c r="X9" s="7" t="n">
        <f aca="false">ROUNDUP(N9*7*Inputs!$B$17/Inputs!$B$18,0)</f>
        <v>594</v>
      </c>
      <c r="Y9" s="7" t="n">
        <f aca="false">ROUNDUP(N9*5*Inputs!$B$17/Inputs!$B$18,0)</f>
        <v>424</v>
      </c>
      <c r="Z9" s="2" t="s">
        <v>242</v>
      </c>
      <c r="AA9" s="2" t="s">
        <v>243</v>
      </c>
    </row>
    <row r="11" customFormat="false" ht="15" hidden="false" customHeight="false" outlineLevel="0" collapsed="false">
      <c r="A11" s="2" t="s">
        <v>244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4"/>
    <col collapsed="false" customWidth="true" hidden="false" outlineLevel="0" max="4" min="3" style="0" width="12"/>
    <col collapsed="false" customWidth="true" hidden="false" outlineLevel="0" max="9" min="5" style="0" width="14"/>
    <col collapsed="false" customWidth="true" hidden="false" outlineLevel="0" max="10" min="10" style="0" width="18"/>
    <col collapsed="false" customWidth="true" hidden="false" outlineLevel="0" max="15" min="11" style="0" width="14"/>
    <col collapsed="false" customWidth="true" hidden="false" outlineLevel="0" max="16" min="16" style="0" width="18"/>
  </cols>
  <sheetData>
    <row r="1" customFormat="false" ht="17.35" hidden="false" customHeight="false" outlineLevel="0" collapsed="false">
      <c r="A1" s="1" t="s">
        <v>245</v>
      </c>
    </row>
    <row r="2" customFormat="false" ht="15" hidden="false" customHeight="false" outlineLevel="0" collapsed="false">
      <c r="A2" s="2" t="s">
        <v>246</v>
      </c>
    </row>
    <row r="4" customFormat="false" ht="29.85" hidden="false" customHeight="false" outlineLevel="0" collapsed="false">
      <c r="A4" s="3" t="s">
        <v>247</v>
      </c>
      <c r="B4" s="3" t="s">
        <v>248</v>
      </c>
      <c r="C4" s="3" t="s">
        <v>249</v>
      </c>
      <c r="D4" s="3" t="s">
        <v>250</v>
      </c>
      <c r="E4" s="3" t="s">
        <v>251</v>
      </c>
      <c r="F4" s="3" t="s">
        <v>252</v>
      </c>
      <c r="G4" s="3" t="s">
        <v>253</v>
      </c>
      <c r="H4" s="3" t="s">
        <v>254</v>
      </c>
      <c r="I4" s="3" t="s">
        <v>255</v>
      </c>
      <c r="J4" s="3" t="s">
        <v>256</v>
      </c>
      <c r="K4" s="3" t="s">
        <v>257</v>
      </c>
      <c r="L4" s="3" t="s">
        <v>258</v>
      </c>
      <c r="M4" s="3" t="s">
        <v>259</v>
      </c>
      <c r="N4" s="3" t="s">
        <v>260</v>
      </c>
      <c r="O4" s="3" t="s">
        <v>261</v>
      </c>
      <c r="P4" s="3" t="s">
        <v>262</v>
      </c>
    </row>
    <row r="5" customFormat="false" ht="15" hidden="false" customHeight="false" outlineLevel="0" collapsed="false">
      <c r="A5" s="0" t="s">
        <v>263</v>
      </c>
      <c r="B5" s="8" t="n">
        <v>343</v>
      </c>
      <c r="C5" s="7" t="n">
        <f aca="false">ROUNDUP(B5/Inputs!$B$21,0)</f>
        <v>2</v>
      </c>
      <c r="D5" s="7" t="n">
        <f aca="false">ROUNDUP(B5/Inputs!$B$22,0)</f>
        <v>2</v>
      </c>
      <c r="E5" s="7" t="str">
        <f aca="false">IF(Facility!$N$5&gt;=C5,"yes","no")</f>
        <v>no</v>
      </c>
      <c r="F5" s="7" t="str">
        <f aca="false">IF(Facility!$N$6&gt;=C5,"yes","no")</f>
        <v>yes</v>
      </c>
      <c r="G5" s="7" t="str">
        <f aca="false">IF(Facility!$N$7&gt;=C5,"yes","no")</f>
        <v>yes</v>
      </c>
      <c r="H5" s="7" t="str">
        <f aca="false">IF(Facility!$N$8&gt;=C5,"yes","no")</f>
        <v>yes</v>
      </c>
      <c r="I5" s="7" t="str">
        <f aca="false">IF(Facility!$N$9&gt;=C5,"yes","no")</f>
        <v>yes</v>
      </c>
      <c r="J5" s="7" t="str">
        <f aca="false">IF(Facility!$N$5&gt;=C5,"201 S1-4",IF(Facility!$N$6&gt;=C5,"201 S8",IF(Facility!$N$7&gt;=C5,"307",IF(Facility!$N$8&gt;=C5,"EN ballroom",IF(Facility!$N$9&gt;=C5,"EN expansion","none")))))</f>
        <v>201 S8</v>
      </c>
      <c r="K5" s="7" t="str">
        <f aca="false">IF(Facility!$N$5&gt;=D5,"yes","no")</f>
        <v>no</v>
      </c>
      <c r="L5" s="7" t="str">
        <f aca="false">IF(Facility!$N$6&gt;=D5,"yes","no")</f>
        <v>yes</v>
      </c>
      <c r="M5" s="7" t="str">
        <f aca="false">IF(Facility!$N$7&gt;=D5,"yes","no")</f>
        <v>yes</v>
      </c>
      <c r="N5" s="7" t="str">
        <f aca="false">IF(Facility!$N$8&gt;=D5,"yes","no")</f>
        <v>yes</v>
      </c>
      <c r="O5" s="7" t="str">
        <f aca="false">IF(Facility!$N$9&gt;=D5,"yes","no")</f>
        <v>yes</v>
      </c>
      <c r="P5" s="7" t="str">
        <f aca="false">IF(Facility!$N$5&gt;=D5,"201 S1-4",IF(Facility!$N$6&gt;=D5,"201 S8",IF(Facility!$N$7&gt;=D5,"307",IF(Facility!$N$8&gt;=D5,"EN ballroom",IF(Facility!$N$9&gt;=D5,"EN expansion","none")))))</f>
        <v>201 S8</v>
      </c>
    </row>
    <row r="6" customFormat="false" ht="15" hidden="false" customHeight="false" outlineLevel="0" collapsed="false">
      <c r="A6" s="0" t="s">
        <v>264</v>
      </c>
      <c r="B6" s="8" t="n">
        <v>1000</v>
      </c>
      <c r="C6" s="7" t="n">
        <f aca="false">ROUNDUP(B6/Inputs!$B$21,0)</f>
        <v>4</v>
      </c>
      <c r="D6" s="7" t="n">
        <f aca="false">ROUNDUP(B6/Inputs!$B$22,0)</f>
        <v>3</v>
      </c>
      <c r="E6" s="7" t="str">
        <f aca="false">IF(Facility!$N$5&gt;=C6,"yes","no")</f>
        <v>no</v>
      </c>
      <c r="F6" s="7" t="str">
        <f aca="false">IF(Facility!$N$6&gt;=C6,"yes","no")</f>
        <v>yes</v>
      </c>
      <c r="G6" s="7" t="str">
        <f aca="false">IF(Facility!$N$7&gt;=C6,"yes","no")</f>
        <v>yes</v>
      </c>
      <c r="H6" s="7" t="str">
        <f aca="false">IF(Facility!$N$8&gt;=C6,"yes","no")</f>
        <v>yes</v>
      </c>
      <c r="I6" s="7" t="str">
        <f aca="false">IF(Facility!$N$9&gt;=C6,"yes","no")</f>
        <v>yes</v>
      </c>
      <c r="J6" s="7" t="str">
        <f aca="false">IF(Facility!$N$5&gt;=C6,"201 S1-4",IF(Facility!$N$6&gt;=C6,"201 S8",IF(Facility!$N$7&gt;=C6,"307",IF(Facility!$N$8&gt;=C6,"EN ballroom",IF(Facility!$N$9&gt;=C6,"EN expansion","none")))))</f>
        <v>201 S8</v>
      </c>
      <c r="K6" s="7" t="str">
        <f aca="false">IF(Facility!$N$5&gt;=D6,"yes","no")</f>
        <v>no</v>
      </c>
      <c r="L6" s="7" t="str">
        <f aca="false">IF(Facility!$N$6&gt;=D6,"yes","no")</f>
        <v>yes</v>
      </c>
      <c r="M6" s="7" t="str">
        <f aca="false">IF(Facility!$N$7&gt;=D6,"yes","no")</f>
        <v>yes</v>
      </c>
      <c r="N6" s="7" t="str">
        <f aca="false">IF(Facility!$N$8&gt;=D6,"yes","no")</f>
        <v>yes</v>
      </c>
      <c r="O6" s="7" t="str">
        <f aca="false">IF(Facility!$N$9&gt;=D6,"yes","no")</f>
        <v>yes</v>
      </c>
      <c r="P6" s="7" t="str">
        <f aca="false">IF(Facility!$N$5&gt;=D6,"201 S1-4",IF(Facility!$N$6&gt;=D6,"201 S8",IF(Facility!$N$7&gt;=D6,"307",IF(Facility!$N$8&gt;=D6,"EN ballroom",IF(Facility!$N$9&gt;=D6,"EN expansion","none")))))</f>
        <v>201 S8</v>
      </c>
    </row>
    <row r="7" customFormat="false" ht="15" hidden="false" customHeight="false" outlineLevel="0" collapsed="false">
      <c r="A7" s="0" t="s">
        <v>265</v>
      </c>
      <c r="B7" s="8" t="n">
        <v>2500</v>
      </c>
      <c r="C7" s="7" t="n">
        <f aca="false">ROUNDUP(B7/Inputs!$B$21,0)</f>
        <v>10</v>
      </c>
      <c r="D7" s="7" t="n">
        <f aca="false">ROUNDUP(B7/Inputs!$B$22,0)</f>
        <v>8</v>
      </c>
      <c r="E7" s="7" t="str">
        <f aca="false">IF(Facility!$N$5&gt;=C7,"yes","no")</f>
        <v>no</v>
      </c>
      <c r="F7" s="7" t="str">
        <f aca="false">IF(Facility!$N$6&gt;=C7,"yes","no")</f>
        <v>no</v>
      </c>
      <c r="G7" s="7" t="str">
        <f aca="false">IF(Facility!$N$7&gt;=C7,"yes","no")</f>
        <v>yes</v>
      </c>
      <c r="H7" s="7" t="str">
        <f aca="false">IF(Facility!$N$8&gt;=C7,"yes","no")</f>
        <v>no</v>
      </c>
      <c r="I7" s="7" t="str">
        <f aca="false">IF(Facility!$N$9&gt;=C7,"yes","no")</f>
        <v>yes</v>
      </c>
      <c r="J7" s="7" t="str">
        <f aca="false">IF(Facility!$N$5&gt;=C7,"201 S1-4",IF(Facility!$N$6&gt;=C7,"201 S8",IF(Facility!$N$7&gt;=C7,"307",IF(Facility!$N$8&gt;=C7,"EN ballroom",IF(Facility!$N$9&gt;=C7,"EN expansion","none")))))</f>
        <v>307</v>
      </c>
      <c r="K7" s="7" t="str">
        <f aca="false">IF(Facility!$N$5&gt;=D7,"yes","no")</f>
        <v>no</v>
      </c>
      <c r="L7" s="7" t="str">
        <f aca="false">IF(Facility!$N$6&gt;=D7,"yes","no")</f>
        <v>no</v>
      </c>
      <c r="M7" s="7" t="str">
        <f aca="false">IF(Facility!$N$7&gt;=D7,"yes","no")</f>
        <v>yes</v>
      </c>
      <c r="N7" s="7" t="str">
        <f aca="false">IF(Facility!$N$8&gt;=D7,"yes","no")</f>
        <v>yes</v>
      </c>
      <c r="O7" s="7" t="str">
        <f aca="false">IF(Facility!$N$9&gt;=D7,"yes","no")</f>
        <v>yes</v>
      </c>
      <c r="P7" s="7" t="str">
        <f aca="false">IF(Facility!$N$5&gt;=D7,"201 S1-4",IF(Facility!$N$6&gt;=D7,"201 S8",IF(Facility!$N$7&gt;=D7,"307",IF(Facility!$N$8&gt;=D7,"EN ballroom",IF(Facility!$N$9&gt;=D7,"EN expansion","none")))))</f>
        <v>307</v>
      </c>
    </row>
    <row r="8" customFormat="false" ht="15" hidden="false" customHeight="false" outlineLevel="0" collapsed="false">
      <c r="A8" s="0" t="s">
        <v>266</v>
      </c>
      <c r="B8" s="8" t="n">
        <v>5000</v>
      </c>
      <c r="C8" s="7" t="n">
        <f aca="false">ROUNDUP(B8/Inputs!$B$21,0)</f>
        <v>20</v>
      </c>
      <c r="D8" s="7" t="n">
        <f aca="false">ROUNDUP(B8/Inputs!$B$22,0)</f>
        <v>15</v>
      </c>
      <c r="E8" s="7" t="str">
        <f aca="false">IF(Facility!$N$5&gt;=C8,"yes","no")</f>
        <v>no</v>
      </c>
      <c r="F8" s="7" t="str">
        <f aca="false">IF(Facility!$N$6&gt;=C8,"yes","no")</f>
        <v>no</v>
      </c>
      <c r="G8" s="7" t="str">
        <f aca="false">IF(Facility!$N$7&gt;=C8,"yes","no")</f>
        <v>yes</v>
      </c>
      <c r="H8" s="7" t="str">
        <f aca="false">IF(Facility!$N$8&gt;=C8,"yes","no")</f>
        <v>no</v>
      </c>
      <c r="I8" s="7" t="str">
        <f aca="false">IF(Facility!$N$9&gt;=C8,"yes","no")</f>
        <v>yes</v>
      </c>
      <c r="J8" s="7" t="str">
        <f aca="false">IF(Facility!$N$5&gt;=C8,"201 S1-4",IF(Facility!$N$6&gt;=C8,"201 S8",IF(Facility!$N$7&gt;=C8,"307",IF(Facility!$N$8&gt;=C8,"EN ballroom",IF(Facility!$N$9&gt;=C8,"EN expansion","none")))))</f>
        <v>307</v>
      </c>
      <c r="K8" s="7" t="str">
        <f aca="false">IF(Facility!$N$5&gt;=D8,"yes","no")</f>
        <v>no</v>
      </c>
      <c r="L8" s="7" t="str">
        <f aca="false">IF(Facility!$N$6&gt;=D8,"yes","no")</f>
        <v>no</v>
      </c>
      <c r="M8" s="7" t="str">
        <f aca="false">IF(Facility!$N$7&gt;=D8,"yes","no")</f>
        <v>yes</v>
      </c>
      <c r="N8" s="7" t="str">
        <f aca="false">IF(Facility!$N$8&gt;=D8,"yes","no")</f>
        <v>no</v>
      </c>
      <c r="O8" s="7" t="str">
        <f aca="false">IF(Facility!$N$9&gt;=D8,"yes","no")</f>
        <v>yes</v>
      </c>
      <c r="P8" s="7" t="str">
        <f aca="false">IF(Facility!$N$5&gt;=D8,"201 S1-4",IF(Facility!$N$6&gt;=D8,"201 S8",IF(Facility!$N$7&gt;=D8,"307",IF(Facility!$N$8&gt;=D8,"EN ballroom",IF(Facility!$N$9&gt;=D8,"EN expansion","none")))))</f>
        <v>307</v>
      </c>
    </row>
    <row r="9" customFormat="false" ht="15" hidden="false" customHeight="false" outlineLevel="0" collapsed="false">
      <c r="A9" s="0" t="s">
        <v>267</v>
      </c>
      <c r="B9" s="8" t="n">
        <v>7500</v>
      </c>
      <c r="C9" s="7" t="n">
        <f aca="false">ROUNDUP(B9/Inputs!$B$21,0)</f>
        <v>30</v>
      </c>
      <c r="D9" s="7" t="n">
        <f aca="false">ROUNDUP(B9/Inputs!$B$22,0)</f>
        <v>23</v>
      </c>
      <c r="E9" s="7" t="str">
        <f aca="false">IF(Facility!$N$5&gt;=C9,"yes","no")</f>
        <v>no</v>
      </c>
      <c r="F9" s="7" t="str">
        <f aca="false">IF(Facility!$N$6&gt;=C9,"yes","no")</f>
        <v>no</v>
      </c>
      <c r="G9" s="7" t="str">
        <f aca="false">IF(Facility!$N$7&gt;=C9,"yes","no")</f>
        <v>yes</v>
      </c>
      <c r="H9" s="7" t="str">
        <f aca="false">IF(Facility!$N$8&gt;=C9,"yes","no")</f>
        <v>no</v>
      </c>
      <c r="I9" s="7" t="str">
        <f aca="false">IF(Facility!$N$9&gt;=C9,"yes","no")</f>
        <v>yes</v>
      </c>
      <c r="J9" s="7" t="str">
        <f aca="false">IF(Facility!$N$5&gt;=C9,"201 S1-4",IF(Facility!$N$6&gt;=C9,"201 S8",IF(Facility!$N$7&gt;=C9,"307",IF(Facility!$N$8&gt;=C9,"EN ballroom",IF(Facility!$N$9&gt;=C9,"EN expansion","none")))))</f>
        <v>307</v>
      </c>
      <c r="K9" s="7" t="str">
        <f aca="false">IF(Facility!$N$5&gt;=D9,"yes","no")</f>
        <v>no</v>
      </c>
      <c r="L9" s="7" t="str">
        <f aca="false">IF(Facility!$N$6&gt;=D9,"yes","no")</f>
        <v>no</v>
      </c>
      <c r="M9" s="7" t="str">
        <f aca="false">IF(Facility!$N$7&gt;=D9,"yes","no")</f>
        <v>yes</v>
      </c>
      <c r="N9" s="7" t="str">
        <f aca="false">IF(Facility!$N$8&gt;=D9,"yes","no")</f>
        <v>no</v>
      </c>
      <c r="O9" s="7" t="str">
        <f aca="false">IF(Facility!$N$9&gt;=D9,"yes","no")</f>
        <v>yes</v>
      </c>
      <c r="P9" s="7" t="str">
        <f aca="false">IF(Facility!$N$5&gt;=D9,"201 S1-4",IF(Facility!$N$6&gt;=D9,"201 S8",IF(Facility!$N$7&gt;=D9,"307",IF(Facility!$N$8&gt;=D9,"EN ballroom",IF(Facility!$N$9&gt;=D9,"EN expansion","none")))))</f>
        <v>307</v>
      </c>
    </row>
    <row r="10" customFormat="false" ht="15" hidden="false" customHeight="false" outlineLevel="0" collapsed="false">
      <c r="A10" s="0" t="s">
        <v>268</v>
      </c>
      <c r="B10" s="8" t="n">
        <v>9600</v>
      </c>
      <c r="C10" s="7" t="n">
        <f aca="false">ROUNDUP(B10/Inputs!$B$21,0)</f>
        <v>39</v>
      </c>
      <c r="D10" s="7" t="n">
        <f aca="false">ROUNDUP(B10/Inputs!$B$22,0)</f>
        <v>29</v>
      </c>
      <c r="E10" s="7" t="str">
        <f aca="false">IF(Facility!$N$5&gt;=C10,"yes","no")</f>
        <v>no</v>
      </c>
      <c r="F10" s="7" t="str">
        <f aca="false">IF(Facility!$N$6&gt;=C10,"yes","no")</f>
        <v>no</v>
      </c>
      <c r="G10" s="7" t="str">
        <f aca="false">IF(Facility!$N$7&gt;=C10,"yes","no")</f>
        <v>yes</v>
      </c>
      <c r="H10" s="7" t="str">
        <f aca="false">IF(Facility!$N$8&gt;=C10,"yes","no")</f>
        <v>no</v>
      </c>
      <c r="I10" s="7" t="str">
        <f aca="false">IF(Facility!$N$9&gt;=C10,"yes","no")</f>
        <v>yes</v>
      </c>
      <c r="J10" s="7" t="str">
        <f aca="false">IF(Facility!$N$5&gt;=C10,"201 S1-4",IF(Facility!$N$6&gt;=C10,"201 S8",IF(Facility!$N$7&gt;=C10,"307",IF(Facility!$N$8&gt;=C10,"EN ballroom",IF(Facility!$N$9&gt;=C10,"EN expansion","none")))))</f>
        <v>307</v>
      </c>
      <c r="K10" s="7" t="str">
        <f aca="false">IF(Facility!$N$5&gt;=D10,"yes","no")</f>
        <v>no</v>
      </c>
      <c r="L10" s="7" t="str">
        <f aca="false">IF(Facility!$N$6&gt;=D10,"yes","no")</f>
        <v>no</v>
      </c>
      <c r="M10" s="7" t="str">
        <f aca="false">IF(Facility!$N$7&gt;=D10,"yes","no")</f>
        <v>yes</v>
      </c>
      <c r="N10" s="7" t="str">
        <f aca="false">IF(Facility!$N$8&gt;=D10,"yes","no")</f>
        <v>no</v>
      </c>
      <c r="O10" s="7" t="str">
        <f aca="false">IF(Facility!$N$9&gt;=D10,"yes","no")</f>
        <v>yes</v>
      </c>
      <c r="P10" s="7" t="str">
        <f aca="false">IF(Facility!$N$5&gt;=D10,"201 S1-4",IF(Facility!$N$6&gt;=D10,"201 S8",IF(Facility!$N$7&gt;=D10,"307",IF(Facility!$N$8&gt;=D10,"EN ballroom",IF(Facility!$N$9&gt;=D10,"EN expansion","none")))))</f>
        <v>307</v>
      </c>
    </row>
    <row r="11" customFormat="false" ht="15" hidden="false" customHeight="false" outlineLevel="0" collapsed="false">
      <c r="A11" s="0" t="s">
        <v>269</v>
      </c>
      <c r="B11" s="8" t="n">
        <v>10000</v>
      </c>
      <c r="C11" s="7" t="n">
        <f aca="false">ROUNDUP(B11/Inputs!$B$21,0)</f>
        <v>40</v>
      </c>
      <c r="D11" s="7" t="n">
        <f aca="false">ROUNDUP(B11/Inputs!$B$22,0)</f>
        <v>30</v>
      </c>
      <c r="E11" s="7" t="str">
        <f aca="false">IF(Facility!$N$5&gt;=C11,"yes","no")</f>
        <v>no</v>
      </c>
      <c r="F11" s="7" t="str">
        <f aca="false">IF(Facility!$N$6&gt;=C11,"yes","no")</f>
        <v>no</v>
      </c>
      <c r="G11" s="7" t="str">
        <f aca="false">IF(Facility!$N$7&gt;=C11,"yes","no")</f>
        <v>yes</v>
      </c>
      <c r="H11" s="7" t="str">
        <f aca="false">IF(Facility!$N$8&gt;=C11,"yes","no")</f>
        <v>no</v>
      </c>
      <c r="I11" s="7" t="str">
        <f aca="false">IF(Facility!$N$9&gt;=C11,"yes","no")</f>
        <v>yes</v>
      </c>
      <c r="J11" s="7" t="str">
        <f aca="false">IF(Facility!$N$5&gt;=C11,"201 S1-4",IF(Facility!$N$6&gt;=C11,"201 S8",IF(Facility!$N$7&gt;=C11,"307",IF(Facility!$N$8&gt;=C11,"EN ballroom",IF(Facility!$N$9&gt;=C11,"EN expansion","none")))))</f>
        <v>307</v>
      </c>
      <c r="K11" s="7" t="str">
        <f aca="false">IF(Facility!$N$5&gt;=D11,"yes","no")</f>
        <v>no</v>
      </c>
      <c r="L11" s="7" t="str">
        <f aca="false">IF(Facility!$N$6&gt;=D11,"yes","no")</f>
        <v>no</v>
      </c>
      <c r="M11" s="7" t="str">
        <f aca="false">IF(Facility!$N$7&gt;=D11,"yes","no")</f>
        <v>yes</v>
      </c>
      <c r="N11" s="7" t="str">
        <f aca="false">IF(Facility!$N$8&gt;=D11,"yes","no")</f>
        <v>no</v>
      </c>
      <c r="O11" s="7" t="str">
        <f aca="false">IF(Facility!$N$9&gt;=D11,"yes","no")</f>
        <v>yes</v>
      </c>
      <c r="P11" s="7" t="str">
        <f aca="false">IF(Facility!$N$5&gt;=D11,"201 S1-4",IF(Facility!$N$6&gt;=D11,"201 S8",IF(Facility!$N$7&gt;=D11,"307",IF(Facility!$N$8&gt;=D11,"EN ballroom",IF(Facility!$N$9&gt;=D11,"EN expansion","none")))))</f>
        <v>307</v>
      </c>
    </row>
    <row r="13" customFormat="false" ht="15" hidden="false" customHeight="false" outlineLevel="0" collapsed="false">
      <c r="A13" s="4" t="s">
        <v>270</v>
      </c>
      <c r="B13" s="0" t="n">
        <f aca="false">Inputs!$B$25</f>
        <v>110</v>
      </c>
      <c r="C13" s="0" t="n">
        <v>3</v>
      </c>
      <c r="D13" s="0" t="s">
        <v>271</v>
      </c>
      <c r="E13" s="7" t="str">
        <f aca="false">IF(Facility!$N$5&gt;=C13,"yes","no")</f>
        <v>no</v>
      </c>
      <c r="F13" s="7" t="str">
        <f aca="false">IF(Facility!$N$6&gt;=C13,"yes","no")</f>
        <v>yes</v>
      </c>
      <c r="G13" s="7" t="str">
        <f aca="false">IF(Facility!$N$7&gt;=C13,"yes","no")</f>
        <v>yes</v>
      </c>
      <c r="H13" s="7" t="str">
        <f aca="false">IF(Facility!$N$8&gt;=C13,"yes","no")</f>
        <v>yes</v>
      </c>
      <c r="I13" s="7" t="str">
        <f aca="false">IF(Facility!$N$9&gt;=C13,"yes","no")</f>
        <v>yes</v>
      </c>
    </row>
    <row r="14" customFormat="false" ht="15" hidden="false" customHeight="false" outlineLevel="0" collapsed="false">
      <c r="A14" s="4" t="s">
        <v>272</v>
      </c>
      <c r="C14" s="0" t="n">
        <v>5</v>
      </c>
      <c r="E14" s="7" t="str">
        <f aca="false">IF(Facility!$N$5&gt;=C14,"yes","no")</f>
        <v>no</v>
      </c>
      <c r="F14" s="7" t="str">
        <f aca="false">IF(Facility!$N$6&gt;=C14,"yes","no")</f>
        <v>no</v>
      </c>
      <c r="G14" s="7" t="str">
        <f aca="false">IF(Facility!$N$7&gt;=C14,"yes","no")</f>
        <v>yes</v>
      </c>
      <c r="H14" s="7" t="str">
        <f aca="false">IF(Facility!$N$8&gt;=C14,"yes","no")</f>
        <v>yes</v>
      </c>
      <c r="I14" s="7" t="str">
        <f aca="false">IF(Facility!$N$9&gt;=C14,"yes","no")</f>
        <v>yes</v>
      </c>
    </row>
    <row r="15" customFormat="false" ht="15" hidden="false" customHeight="false" outlineLevel="0" collapsed="false">
      <c r="A15" s="4" t="s">
        <v>273</v>
      </c>
      <c r="C15" s="7" t="n">
        <f aca="false">ROUNDUP(Inputs!$B$26*IF(Inputs!$B$13=1,ROUNDUP(Inputs!$B$10/Inputs!$B$11,0)/Inputs!$B$12,ROUNDUP(Inputs!$B$10/(Inputs!$B$11*Inputs!$B$12),0))+1,0)</f>
        <v>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10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10"/>
    <col collapsed="false" customWidth="true" hidden="false" outlineLevel="0" max="3" min="3" style="0" width="28"/>
    <col collapsed="false" customWidth="true" hidden="false" outlineLevel="0" max="5" min="4" style="0" width="8"/>
    <col collapsed="false" customWidth="true" hidden="false" outlineLevel="0" max="6" min="6" style="0" width="12"/>
    <col collapsed="false" customWidth="true" hidden="false" outlineLevel="0" max="7" min="7" style="0" width="40"/>
    <col collapsed="false" customWidth="true" hidden="false" outlineLevel="0" max="8" min="8" style="0" width="10"/>
    <col collapsed="false" customWidth="true" hidden="false" outlineLevel="0" max="9" min="9" style="0" width="12"/>
    <col collapsed="false" customWidth="true" hidden="false" outlineLevel="0" max="15" min="10" style="0" width="8"/>
    <col collapsed="false" customWidth="true" hidden="false" outlineLevel="0" max="16" min="16" style="0" width="12"/>
    <col collapsed="false" customWidth="true" hidden="false" outlineLevel="0" max="17" min="17" style="0" width="10"/>
    <col collapsed="false" customWidth="true" hidden="false" outlineLevel="0" max="18" min="18" style="0" width="12"/>
    <col collapsed="false" customWidth="true" hidden="false" outlineLevel="0" max="19" min="19" style="0" width="30"/>
    <col collapsed="false" customWidth="true" hidden="false" outlineLevel="0" max="20" min="20" style="0" width="20"/>
  </cols>
  <sheetData>
    <row r="1" customFormat="false" ht="17.35" hidden="false" customHeight="false" outlineLevel="0" collapsed="false">
      <c r="A1" s="1" t="s">
        <v>274</v>
      </c>
    </row>
    <row r="2" customFormat="false" ht="15" hidden="false" customHeight="false" outlineLevel="0" collapsed="false">
      <c r="A2" s="2" t="s">
        <v>275</v>
      </c>
    </row>
    <row r="4" customFormat="false" ht="44" hidden="false" customHeight="false" outlineLevel="0" collapsed="false">
      <c r="A4" s="3" t="s">
        <v>276</v>
      </c>
      <c r="B4" s="3" t="s">
        <v>277</v>
      </c>
      <c r="C4" s="3" t="s">
        <v>278</v>
      </c>
      <c r="D4" s="3" t="s">
        <v>279</v>
      </c>
      <c r="E4" s="3" t="s">
        <v>280</v>
      </c>
      <c r="F4" s="3" t="s">
        <v>190</v>
      </c>
      <c r="G4" s="3" t="s">
        <v>281</v>
      </c>
      <c r="H4" s="3" t="s">
        <v>282</v>
      </c>
      <c r="I4" s="3" t="s">
        <v>283</v>
      </c>
      <c r="J4" s="3" t="s">
        <v>284</v>
      </c>
      <c r="K4" s="3" t="s">
        <v>285</v>
      </c>
      <c r="L4" s="3" t="s">
        <v>286</v>
      </c>
      <c r="M4" s="3" t="s">
        <v>287</v>
      </c>
      <c r="N4" s="3" t="s">
        <v>288</v>
      </c>
      <c r="O4" s="3" t="s">
        <v>289</v>
      </c>
      <c r="P4" s="3" t="s">
        <v>290</v>
      </c>
      <c r="Q4" s="3" t="s">
        <v>291</v>
      </c>
      <c r="R4" s="3" t="s">
        <v>292</v>
      </c>
      <c r="S4" s="3" t="s">
        <v>293</v>
      </c>
      <c r="T4" s="3" t="s">
        <v>294</v>
      </c>
    </row>
    <row r="5" customFormat="false" ht="15" hidden="false" customHeight="false" outlineLevel="0" collapsed="false">
      <c r="A5" s="0" t="s">
        <v>8</v>
      </c>
      <c r="B5" s="0" t="s">
        <v>295</v>
      </c>
      <c r="C5" s="0" t="s">
        <v>296</v>
      </c>
      <c r="D5" s="0" t="n">
        <v>1</v>
      </c>
      <c r="E5" s="0" t="s">
        <v>297</v>
      </c>
      <c r="F5" s="0" t="n">
        <v>12</v>
      </c>
      <c r="G5" s="0" t="s">
        <v>298</v>
      </c>
      <c r="H5" s="0" t="n">
        <v>2</v>
      </c>
      <c r="I5" s="0" t="n">
        <v>3</v>
      </c>
      <c r="J5" s="10" t="n">
        <v>0.145833333333333</v>
      </c>
      <c r="K5" s="10" t="n">
        <v>0.208333333333333</v>
      </c>
      <c r="L5" s="10" t="n">
        <v>0.0625</v>
      </c>
      <c r="M5" s="10" t="n">
        <v>0.104166666666667</v>
      </c>
      <c r="N5" s="10" t="n">
        <v>0.0625</v>
      </c>
      <c r="O5" s="10" t="n">
        <v>0.0833333333333333</v>
      </c>
      <c r="P5" s="0" t="n">
        <v>6</v>
      </c>
      <c r="Q5" s="0" t="n">
        <v>53</v>
      </c>
      <c r="R5" s="0" t="n">
        <v>0</v>
      </c>
      <c r="S5" s="0" t="s">
        <v>299</v>
      </c>
    </row>
    <row r="6" customFormat="false" ht="15" hidden="false" customHeight="false" outlineLevel="0" collapsed="false">
      <c r="A6" s="0" t="s">
        <v>8</v>
      </c>
      <c r="B6" s="0" t="s">
        <v>295</v>
      </c>
      <c r="C6" s="0" t="s">
        <v>300</v>
      </c>
      <c r="D6" s="0" t="n">
        <v>1</v>
      </c>
      <c r="E6" s="0" t="s">
        <v>297</v>
      </c>
      <c r="F6" s="0" t="n">
        <v>12</v>
      </c>
      <c r="G6" s="0" t="s">
        <v>298</v>
      </c>
      <c r="H6" s="0" t="n">
        <v>2</v>
      </c>
      <c r="I6" s="0" t="n">
        <v>3</v>
      </c>
      <c r="J6" s="10" t="n">
        <v>0.145833333333333</v>
      </c>
      <c r="K6" s="10" t="n">
        <v>0.104166666666667</v>
      </c>
      <c r="L6" s="10" t="n">
        <v>0.0625</v>
      </c>
      <c r="M6" s="10" t="n">
        <v>0.104166666666667</v>
      </c>
      <c r="N6" s="10" t="n">
        <v>0.0625</v>
      </c>
      <c r="O6" s="10" t="n">
        <v>0.0833333333333333</v>
      </c>
      <c r="P6" s="0" t="n">
        <v>6</v>
      </c>
      <c r="Q6" s="0" t="n">
        <v>53</v>
      </c>
      <c r="R6" s="0" t="n">
        <v>0</v>
      </c>
      <c r="S6" s="0" t="s">
        <v>299</v>
      </c>
    </row>
    <row r="7" customFormat="false" ht="15" hidden="false" customHeight="false" outlineLevel="0" collapsed="false">
      <c r="A7" s="0" t="s">
        <v>8</v>
      </c>
      <c r="B7" s="0" t="s">
        <v>295</v>
      </c>
      <c r="C7" s="0" t="s">
        <v>301</v>
      </c>
      <c r="D7" s="0" t="n">
        <v>1</v>
      </c>
      <c r="E7" s="0" t="s">
        <v>297</v>
      </c>
      <c r="F7" s="0" t="n">
        <v>12</v>
      </c>
      <c r="G7" s="0" t="s">
        <v>298</v>
      </c>
      <c r="H7" s="0" t="n">
        <v>2</v>
      </c>
      <c r="I7" s="0" t="n">
        <v>3</v>
      </c>
      <c r="J7" s="10" t="n">
        <v>0.0182291666666667</v>
      </c>
      <c r="K7" s="10" t="n">
        <v>0.0260416666666667</v>
      </c>
      <c r="L7" s="10" t="n">
        <v>0.0078125</v>
      </c>
      <c r="M7" s="10" t="n">
        <v>0.0130208333333333</v>
      </c>
      <c r="N7" s="10" t="n">
        <v>0.0078125</v>
      </c>
      <c r="O7" s="10" t="n">
        <v>0.0104166666666667</v>
      </c>
      <c r="P7" s="0" t="n">
        <v>6</v>
      </c>
      <c r="Q7" s="0" t="n">
        <v>53</v>
      </c>
      <c r="R7" s="0" t="n">
        <v>7</v>
      </c>
      <c r="S7" s="0" t="s">
        <v>299</v>
      </c>
    </row>
    <row r="8" customFormat="false" ht="15" hidden="false" customHeight="false" outlineLevel="0" collapsed="false">
      <c r="A8" s="0" t="s">
        <v>8</v>
      </c>
      <c r="B8" s="0" t="s">
        <v>295</v>
      </c>
      <c r="C8" s="0" t="s">
        <v>296</v>
      </c>
      <c r="D8" s="0" t="n">
        <v>2</v>
      </c>
      <c r="E8" s="0" t="s">
        <v>297</v>
      </c>
      <c r="F8" s="0" t="n">
        <v>19.25</v>
      </c>
      <c r="G8" s="0" t="s">
        <v>302</v>
      </c>
      <c r="H8" s="0" t="n">
        <v>4</v>
      </c>
      <c r="I8" s="0" t="n">
        <v>4.5</v>
      </c>
      <c r="J8" s="10" t="n">
        <v>0.181818181818182</v>
      </c>
      <c r="K8" s="10" t="n">
        <v>0.25974025974026</v>
      </c>
      <c r="L8" s="10" t="n">
        <v>0.0779220779220779</v>
      </c>
      <c r="M8" s="10" t="n">
        <v>0.12987012987013</v>
      </c>
      <c r="N8" s="10" t="n">
        <v>0.0779220779220779</v>
      </c>
      <c r="O8" s="10" t="n">
        <v>0.103896103896104</v>
      </c>
      <c r="P8" s="0" t="n">
        <v>11</v>
      </c>
      <c r="Q8" s="0" t="n">
        <v>106</v>
      </c>
      <c r="R8" s="0" t="n">
        <v>0</v>
      </c>
      <c r="S8" s="0" t="s">
        <v>299</v>
      </c>
    </row>
    <row r="9" customFormat="false" ht="15" hidden="false" customHeight="false" outlineLevel="0" collapsed="false">
      <c r="A9" s="0" t="s">
        <v>8</v>
      </c>
      <c r="B9" s="0" t="s">
        <v>295</v>
      </c>
      <c r="C9" s="0" t="s">
        <v>300</v>
      </c>
      <c r="D9" s="0" t="n">
        <v>2</v>
      </c>
      <c r="E9" s="0" t="s">
        <v>297</v>
      </c>
      <c r="F9" s="0" t="n">
        <v>13.75</v>
      </c>
      <c r="G9" s="0" t="s">
        <v>303</v>
      </c>
      <c r="H9" s="0" t="n">
        <v>4</v>
      </c>
      <c r="I9" s="0" t="n">
        <v>5</v>
      </c>
      <c r="J9" s="10" t="n">
        <v>0.254545454545455</v>
      </c>
      <c r="K9" s="10" t="n">
        <v>0.181818181818182</v>
      </c>
      <c r="L9" s="10" t="n">
        <v>0.109090909090909</v>
      </c>
      <c r="M9" s="10" t="n">
        <v>0.181818181818182</v>
      </c>
      <c r="N9" s="10" t="n">
        <v>0.109090909090909</v>
      </c>
      <c r="O9" s="10" t="n">
        <v>0.145454545454545</v>
      </c>
      <c r="P9" s="0" t="n">
        <v>11</v>
      </c>
      <c r="Q9" s="0" t="n">
        <v>106</v>
      </c>
      <c r="R9" s="0" t="n">
        <v>0</v>
      </c>
      <c r="S9" s="0" t="s">
        <v>299</v>
      </c>
    </row>
    <row r="10" customFormat="false" ht="15" hidden="false" customHeight="false" outlineLevel="0" collapsed="false">
      <c r="A10" s="0" t="s">
        <v>8</v>
      </c>
      <c r="B10" s="0" t="s">
        <v>295</v>
      </c>
      <c r="C10" s="0" t="s">
        <v>301</v>
      </c>
      <c r="D10" s="0" t="n">
        <v>2</v>
      </c>
      <c r="E10" s="0" t="s">
        <v>297</v>
      </c>
      <c r="F10" s="0" t="n">
        <v>12</v>
      </c>
      <c r="G10" s="0" t="s">
        <v>304</v>
      </c>
      <c r="H10" s="0" t="n">
        <v>4</v>
      </c>
      <c r="I10" s="0" t="n">
        <v>6</v>
      </c>
      <c r="J10" s="10" t="n">
        <v>0.0364583333333333</v>
      </c>
      <c r="K10" s="10" t="n">
        <v>0.0520833333333333</v>
      </c>
      <c r="L10" s="10" t="n">
        <v>0.015625</v>
      </c>
      <c r="M10" s="10" t="n">
        <v>0.0260416666666667</v>
      </c>
      <c r="N10" s="10" t="n">
        <v>0.015625</v>
      </c>
      <c r="O10" s="10" t="n">
        <v>0.0208333333333333</v>
      </c>
      <c r="P10" s="0" t="n">
        <v>11</v>
      </c>
      <c r="Q10" s="0" t="n">
        <v>106</v>
      </c>
      <c r="R10" s="0" t="n">
        <v>7</v>
      </c>
      <c r="S10" s="0" t="s">
        <v>299</v>
      </c>
    </row>
    <row r="11" customFormat="false" ht="15" hidden="false" customHeight="false" outlineLevel="0" collapsed="false">
      <c r="A11" s="0" t="s">
        <v>8</v>
      </c>
      <c r="B11" s="0" t="s">
        <v>295</v>
      </c>
      <c r="C11" s="0" t="s">
        <v>296</v>
      </c>
      <c r="D11" s="0" t="n">
        <v>3</v>
      </c>
      <c r="E11" s="0" t="s">
        <v>297</v>
      </c>
      <c r="F11" s="0" t="n">
        <v>26.5</v>
      </c>
      <c r="G11" s="0" t="s">
        <v>305</v>
      </c>
      <c r="H11" s="0" t="n">
        <v>4</v>
      </c>
      <c r="I11" s="0" t="n">
        <v>5</v>
      </c>
      <c r="J11" s="10" t="n">
        <v>0.19811320754717</v>
      </c>
      <c r="K11" s="10" t="n">
        <v>0.283018867924528</v>
      </c>
      <c r="L11" s="10" t="n">
        <v>0.0849056603773585</v>
      </c>
      <c r="M11" s="10" t="n">
        <v>0.141509433962264</v>
      </c>
      <c r="N11" s="10" t="n">
        <v>0.0849056603773585</v>
      </c>
      <c r="O11" s="10" t="n">
        <v>0.113207547169811</v>
      </c>
      <c r="P11" s="0" t="n">
        <v>16</v>
      </c>
      <c r="Q11" s="0" t="n">
        <v>159</v>
      </c>
      <c r="R11" s="0" t="n">
        <v>0</v>
      </c>
      <c r="S11" s="0" t="s">
        <v>299</v>
      </c>
    </row>
    <row r="12" customFormat="false" ht="15" hidden="false" customHeight="false" outlineLevel="0" collapsed="false">
      <c r="A12" s="0" t="s">
        <v>8</v>
      </c>
      <c r="B12" s="0" t="s">
        <v>295</v>
      </c>
      <c r="C12" s="0" t="s">
        <v>300</v>
      </c>
      <c r="D12" s="0" t="n">
        <v>3</v>
      </c>
      <c r="E12" s="0" t="s">
        <v>297</v>
      </c>
      <c r="F12" s="0" t="n">
        <v>19.25</v>
      </c>
      <c r="G12" s="0" t="s">
        <v>306</v>
      </c>
      <c r="H12" s="0" t="n">
        <v>6</v>
      </c>
      <c r="I12" s="0" t="n">
        <v>6.5</v>
      </c>
      <c r="J12" s="10" t="n">
        <v>0.272727272727273</v>
      </c>
      <c r="K12" s="10" t="n">
        <v>0.194805194805195</v>
      </c>
      <c r="L12" s="10" t="n">
        <v>0.116883116883117</v>
      </c>
      <c r="M12" s="10" t="n">
        <v>0.194805194805195</v>
      </c>
      <c r="N12" s="10" t="n">
        <v>0.116883116883117</v>
      </c>
      <c r="O12" s="10" t="n">
        <v>0.155844155844156</v>
      </c>
      <c r="P12" s="0" t="n">
        <v>16</v>
      </c>
      <c r="Q12" s="0" t="n">
        <v>159</v>
      </c>
      <c r="R12" s="0" t="n">
        <v>0</v>
      </c>
      <c r="S12" s="0" t="s">
        <v>299</v>
      </c>
    </row>
    <row r="13" customFormat="false" ht="15" hidden="false" customHeight="false" outlineLevel="0" collapsed="false">
      <c r="A13" s="0" t="s">
        <v>8</v>
      </c>
      <c r="B13" s="0" t="s">
        <v>295</v>
      </c>
      <c r="C13" s="0" t="s">
        <v>301</v>
      </c>
      <c r="D13" s="0" t="n">
        <v>3</v>
      </c>
      <c r="E13" s="0" t="s">
        <v>297</v>
      </c>
      <c r="F13" s="0" t="n">
        <v>12</v>
      </c>
      <c r="G13" s="0" t="s">
        <v>307</v>
      </c>
      <c r="H13" s="0" t="n">
        <v>6</v>
      </c>
      <c r="I13" s="0" t="n">
        <v>9</v>
      </c>
      <c r="J13" s="10" t="n">
        <v>0.0546875</v>
      </c>
      <c r="K13" s="10" t="n">
        <v>0.078125</v>
      </c>
      <c r="L13" s="10" t="n">
        <v>0.0234375</v>
      </c>
      <c r="M13" s="10" t="n">
        <v>0.0390625</v>
      </c>
      <c r="N13" s="10" t="n">
        <v>0.0234375</v>
      </c>
      <c r="O13" s="10" t="n">
        <v>0.03125</v>
      </c>
      <c r="P13" s="0" t="n">
        <v>16</v>
      </c>
      <c r="Q13" s="0" t="n">
        <v>159</v>
      </c>
      <c r="R13" s="0" t="n">
        <v>7</v>
      </c>
      <c r="S13" s="0" t="s">
        <v>299</v>
      </c>
    </row>
    <row r="14" customFormat="false" ht="15" hidden="false" customHeight="false" outlineLevel="0" collapsed="false">
      <c r="A14" s="0" t="s">
        <v>8</v>
      </c>
      <c r="B14" s="0" t="s">
        <v>295</v>
      </c>
      <c r="C14" s="0" t="s">
        <v>296</v>
      </c>
      <c r="D14" s="0" t="n">
        <v>5</v>
      </c>
      <c r="E14" s="0" t="s">
        <v>297</v>
      </c>
      <c r="F14" s="0" t="n">
        <v>41</v>
      </c>
      <c r="G14" s="0" t="s">
        <v>308</v>
      </c>
      <c r="H14" s="0" t="n">
        <v>4</v>
      </c>
      <c r="I14" s="0" t="n">
        <v>6</v>
      </c>
      <c r="J14" s="10" t="n">
        <v>0.213414634146342</v>
      </c>
      <c r="K14" s="10" t="n">
        <v>0.304878048780488</v>
      </c>
      <c r="L14" s="10" t="n">
        <v>0.0914634146341463</v>
      </c>
      <c r="M14" s="10" t="n">
        <v>0.152439024390244</v>
      </c>
      <c r="N14" s="10" t="n">
        <v>0.0914634146341463</v>
      </c>
      <c r="O14" s="10" t="n">
        <v>0.121951219512195</v>
      </c>
      <c r="P14" s="0" t="n">
        <v>26</v>
      </c>
      <c r="Q14" s="0" t="n">
        <v>265</v>
      </c>
      <c r="R14" s="0" t="n">
        <v>0</v>
      </c>
      <c r="S14" s="0" t="s">
        <v>299</v>
      </c>
    </row>
    <row r="15" customFormat="false" ht="15" hidden="false" customHeight="false" outlineLevel="0" collapsed="false">
      <c r="A15" s="0" t="s">
        <v>8</v>
      </c>
      <c r="B15" s="0" t="s">
        <v>295</v>
      </c>
      <c r="C15" s="0" t="s">
        <v>300</v>
      </c>
      <c r="D15" s="0" t="n">
        <v>5</v>
      </c>
      <c r="E15" s="0" t="s">
        <v>297</v>
      </c>
      <c r="F15" s="0" t="n">
        <v>26.5</v>
      </c>
      <c r="G15" s="0" t="s">
        <v>309</v>
      </c>
      <c r="H15" s="0" t="n">
        <v>7</v>
      </c>
      <c r="I15" s="0" t="n">
        <v>7.5</v>
      </c>
      <c r="J15" s="10" t="n">
        <v>0.330188679245283</v>
      </c>
      <c r="K15" s="10" t="n">
        <v>0.235849056603774</v>
      </c>
      <c r="L15" s="10" t="n">
        <v>0.141509433962264</v>
      </c>
      <c r="M15" s="10" t="n">
        <v>0.235849056603774</v>
      </c>
      <c r="N15" s="10" t="n">
        <v>0.141509433962264</v>
      </c>
      <c r="O15" s="10" t="n">
        <v>0.188679245283019</v>
      </c>
      <c r="P15" s="0" t="n">
        <v>26</v>
      </c>
      <c r="Q15" s="0" t="n">
        <v>265</v>
      </c>
      <c r="R15" s="0" t="n">
        <v>0</v>
      </c>
      <c r="S15" s="0" t="s">
        <v>299</v>
      </c>
    </row>
    <row r="16" customFormat="false" ht="15" hidden="false" customHeight="false" outlineLevel="0" collapsed="false">
      <c r="A16" s="0" t="s">
        <v>8</v>
      </c>
      <c r="B16" s="0" t="s">
        <v>295</v>
      </c>
      <c r="C16" s="0" t="s">
        <v>301</v>
      </c>
      <c r="D16" s="0" t="n">
        <v>5</v>
      </c>
      <c r="E16" s="0" t="s">
        <v>297</v>
      </c>
      <c r="F16" s="0" t="n">
        <v>13.25</v>
      </c>
      <c r="G16" s="0" t="s">
        <v>310</v>
      </c>
      <c r="H16" s="0" t="n">
        <v>10</v>
      </c>
      <c r="I16" s="0" t="n">
        <v>14</v>
      </c>
      <c r="J16" s="10" t="n">
        <v>0.0825471698113208</v>
      </c>
      <c r="K16" s="10" t="n">
        <v>0.117924528301887</v>
      </c>
      <c r="L16" s="10" t="n">
        <v>0.035377358490566</v>
      </c>
      <c r="M16" s="10" t="n">
        <v>0.0589622641509434</v>
      </c>
      <c r="N16" s="10" t="n">
        <v>0.035377358490566</v>
      </c>
      <c r="O16" s="10" t="n">
        <v>0.0471698113207547</v>
      </c>
      <c r="P16" s="0" t="n">
        <v>26</v>
      </c>
      <c r="Q16" s="0" t="n">
        <v>265</v>
      </c>
      <c r="R16" s="0" t="n">
        <v>7</v>
      </c>
      <c r="S16" s="0" t="s">
        <v>299</v>
      </c>
    </row>
    <row r="17" customFormat="false" ht="15" hidden="false" customHeight="false" outlineLevel="0" collapsed="false">
      <c r="A17" s="0" t="s">
        <v>8</v>
      </c>
      <c r="B17" s="0" t="s">
        <v>295</v>
      </c>
      <c r="C17" s="0" t="s">
        <v>296</v>
      </c>
      <c r="D17" s="0" t="n">
        <v>8</v>
      </c>
      <c r="E17" s="0" t="s">
        <v>297</v>
      </c>
      <c r="F17" s="0" t="n">
        <v>62.75</v>
      </c>
      <c r="G17" s="0" t="s">
        <v>311</v>
      </c>
      <c r="H17" s="0" t="n">
        <v>4</v>
      </c>
      <c r="I17" s="0" t="n">
        <v>6</v>
      </c>
      <c r="J17" s="10" t="n">
        <v>0.223107569721116</v>
      </c>
      <c r="K17" s="10" t="n">
        <v>0.318725099601594</v>
      </c>
      <c r="L17" s="10" t="n">
        <v>0.0956175298804781</v>
      </c>
      <c r="M17" s="10" t="n">
        <v>0.159362549800797</v>
      </c>
      <c r="N17" s="10" t="n">
        <v>0.0956175298804781</v>
      </c>
      <c r="O17" s="10" t="n">
        <v>0.127490039840637</v>
      </c>
      <c r="P17" s="0" t="n">
        <v>42</v>
      </c>
      <c r="Q17" s="0" t="n">
        <v>424</v>
      </c>
      <c r="R17" s="0" t="n">
        <v>0</v>
      </c>
      <c r="S17" s="0" t="s">
        <v>299</v>
      </c>
    </row>
    <row r="18" customFormat="false" ht="15" hidden="false" customHeight="false" outlineLevel="0" collapsed="false">
      <c r="A18" s="0" t="s">
        <v>8</v>
      </c>
      <c r="B18" s="0" t="s">
        <v>295</v>
      </c>
      <c r="C18" s="0" t="s">
        <v>300</v>
      </c>
      <c r="D18" s="0" t="n">
        <v>8</v>
      </c>
      <c r="E18" s="0" t="s">
        <v>297</v>
      </c>
      <c r="F18" s="0" t="n">
        <v>35.5</v>
      </c>
      <c r="G18" s="0" t="s">
        <v>312</v>
      </c>
      <c r="H18" s="0" t="n">
        <v>7</v>
      </c>
      <c r="I18" s="0" t="n">
        <v>9</v>
      </c>
      <c r="J18" s="10" t="n">
        <v>0.394366197183099</v>
      </c>
      <c r="K18" s="10" t="n">
        <v>0.28169014084507</v>
      </c>
      <c r="L18" s="10" t="n">
        <v>0.169014084507042</v>
      </c>
      <c r="M18" s="10" t="n">
        <v>0.28169014084507</v>
      </c>
      <c r="N18" s="10" t="n">
        <v>0.169014084507042</v>
      </c>
      <c r="O18" s="10" t="n">
        <v>0.225352112676056</v>
      </c>
      <c r="P18" s="0" t="n">
        <v>42</v>
      </c>
      <c r="Q18" s="0" t="n">
        <v>424</v>
      </c>
      <c r="R18" s="0" t="n">
        <v>0</v>
      </c>
      <c r="S18" s="0" t="s">
        <v>299</v>
      </c>
    </row>
    <row r="19" customFormat="false" ht="15" hidden="false" customHeight="false" outlineLevel="0" collapsed="false">
      <c r="A19" s="0" t="s">
        <v>8</v>
      </c>
      <c r="B19" s="0" t="s">
        <v>295</v>
      </c>
      <c r="C19" s="0" t="s">
        <v>301</v>
      </c>
      <c r="D19" s="0" t="n">
        <v>8</v>
      </c>
      <c r="E19" s="0" t="s">
        <v>297</v>
      </c>
      <c r="F19" s="0" t="n">
        <v>15.75</v>
      </c>
      <c r="G19" s="0" t="s">
        <v>313</v>
      </c>
      <c r="H19" s="0" t="n">
        <v>14</v>
      </c>
      <c r="I19" s="0" t="n">
        <v>22</v>
      </c>
      <c r="J19" s="10" t="n">
        <v>0.111111111111111</v>
      </c>
      <c r="K19" s="10" t="n">
        <v>0.158730158730159</v>
      </c>
      <c r="L19" s="10" t="n">
        <v>0.0476190476190476</v>
      </c>
      <c r="M19" s="10" t="n">
        <v>0.0793650793650794</v>
      </c>
      <c r="N19" s="10" t="n">
        <v>0.0476190476190476</v>
      </c>
      <c r="O19" s="10" t="n">
        <v>0.0634920634920635</v>
      </c>
      <c r="P19" s="0" t="n">
        <v>42</v>
      </c>
      <c r="Q19" s="0" t="n">
        <v>424</v>
      </c>
      <c r="R19" s="0" t="n">
        <v>7</v>
      </c>
      <c r="S19" s="0" t="s">
        <v>299</v>
      </c>
    </row>
    <row r="20" customFormat="false" ht="15" hidden="false" customHeight="false" outlineLevel="0" collapsed="false">
      <c r="A20" s="0" t="s">
        <v>8</v>
      </c>
      <c r="B20" s="0" t="s">
        <v>295</v>
      </c>
      <c r="C20" s="0" t="s">
        <v>296</v>
      </c>
      <c r="D20" s="0" t="n">
        <v>10</v>
      </c>
      <c r="E20" s="0" t="s">
        <v>297</v>
      </c>
      <c r="F20" s="0" t="n">
        <v>77.25</v>
      </c>
      <c r="G20" s="0" t="s">
        <v>314</v>
      </c>
      <c r="H20" s="0" t="n">
        <v>4</v>
      </c>
      <c r="I20" s="0" t="n">
        <v>6</v>
      </c>
      <c r="J20" s="10" t="n">
        <v>0.226537216828479</v>
      </c>
      <c r="K20" s="10" t="n">
        <v>0.323624595469256</v>
      </c>
      <c r="L20" s="10" t="n">
        <v>0.0970873786407767</v>
      </c>
      <c r="M20" s="10" t="n">
        <v>0.161812297734628</v>
      </c>
      <c r="N20" s="10" t="n">
        <v>0.0970873786407767</v>
      </c>
      <c r="O20" s="10" t="n">
        <v>0.129449838187702</v>
      </c>
      <c r="P20" s="0" t="n">
        <v>52</v>
      </c>
      <c r="Q20" s="0" t="n">
        <v>530</v>
      </c>
      <c r="R20" s="0" t="n">
        <v>0</v>
      </c>
      <c r="S20" s="0" t="s">
        <v>299</v>
      </c>
    </row>
    <row r="21" customFormat="false" ht="15" hidden="false" customHeight="false" outlineLevel="0" collapsed="false">
      <c r="A21" s="0" t="s">
        <v>8</v>
      </c>
      <c r="B21" s="0" t="s">
        <v>295</v>
      </c>
      <c r="C21" s="0" t="s">
        <v>300</v>
      </c>
      <c r="D21" s="0" t="n">
        <v>10</v>
      </c>
      <c r="E21" s="0" t="s">
        <v>297</v>
      </c>
      <c r="F21" s="0" t="n">
        <v>42.75</v>
      </c>
      <c r="G21" s="0" t="s">
        <v>315</v>
      </c>
      <c r="H21" s="0" t="n">
        <v>7</v>
      </c>
      <c r="I21" s="0" t="n">
        <v>9</v>
      </c>
      <c r="J21" s="10" t="n">
        <v>0.409356725146199</v>
      </c>
      <c r="K21" s="10" t="n">
        <v>0.292397660818713</v>
      </c>
      <c r="L21" s="10" t="n">
        <v>0.175438596491228</v>
      </c>
      <c r="M21" s="10" t="n">
        <v>0.292397660818713</v>
      </c>
      <c r="N21" s="10" t="n">
        <v>0.175438596491228</v>
      </c>
      <c r="O21" s="10" t="n">
        <v>0.233918128654971</v>
      </c>
      <c r="P21" s="0" t="n">
        <v>52</v>
      </c>
      <c r="Q21" s="0" t="n">
        <v>530</v>
      </c>
      <c r="R21" s="0" t="n">
        <v>0</v>
      </c>
      <c r="S21" s="0" t="s">
        <v>299</v>
      </c>
    </row>
    <row r="22" customFormat="false" ht="15" hidden="false" customHeight="false" outlineLevel="0" collapsed="false">
      <c r="A22" s="0" t="s">
        <v>8</v>
      </c>
      <c r="B22" s="0" t="s">
        <v>295</v>
      </c>
      <c r="C22" s="0" t="s">
        <v>301</v>
      </c>
      <c r="D22" s="0" t="n">
        <v>10</v>
      </c>
      <c r="E22" s="0" t="s">
        <v>297</v>
      </c>
      <c r="F22" s="0" t="n">
        <v>19.25</v>
      </c>
      <c r="G22" s="0" t="s">
        <v>316</v>
      </c>
      <c r="H22" s="0" t="n">
        <v>17.5</v>
      </c>
      <c r="I22" s="0" t="n">
        <v>23</v>
      </c>
      <c r="J22" s="10" t="n">
        <v>0.113636363636364</v>
      </c>
      <c r="K22" s="10" t="n">
        <v>0.162337662337662</v>
      </c>
      <c r="L22" s="10" t="n">
        <v>0.0487012987012987</v>
      </c>
      <c r="M22" s="10" t="n">
        <v>0.0811688311688312</v>
      </c>
      <c r="N22" s="10" t="n">
        <v>0.0487012987012987</v>
      </c>
      <c r="O22" s="10" t="n">
        <v>0.0649350649350649</v>
      </c>
      <c r="P22" s="0" t="n">
        <v>52</v>
      </c>
      <c r="Q22" s="0" t="n">
        <v>530</v>
      </c>
      <c r="R22" s="0" t="n">
        <v>7</v>
      </c>
      <c r="S22" s="0" t="s">
        <v>299</v>
      </c>
    </row>
    <row r="23" customFormat="false" ht="15" hidden="false" customHeight="false" outlineLevel="0" collapsed="false">
      <c r="A23" s="0" t="s">
        <v>8</v>
      </c>
      <c r="B23" s="0" t="s">
        <v>295</v>
      </c>
      <c r="C23" s="0" t="s">
        <v>296</v>
      </c>
      <c r="D23" s="0" t="n">
        <v>16</v>
      </c>
      <c r="E23" s="0" t="s">
        <v>297</v>
      </c>
      <c r="F23" s="0" t="n">
        <v>120.75</v>
      </c>
      <c r="G23" s="0" t="s">
        <v>317</v>
      </c>
      <c r="H23" s="0" t="n">
        <v>4</v>
      </c>
      <c r="I23" s="0" t="n">
        <v>6</v>
      </c>
      <c r="J23" s="10" t="n">
        <v>0.231884057971015</v>
      </c>
      <c r="K23" s="10" t="n">
        <v>0.331262939958592</v>
      </c>
      <c r="L23" s="10" t="n">
        <v>0.0993788819875776</v>
      </c>
      <c r="M23" s="10" t="n">
        <v>0.165631469979296</v>
      </c>
      <c r="N23" s="10" t="n">
        <v>0.0993788819875776</v>
      </c>
      <c r="O23" s="10" t="n">
        <v>0.132505175983437</v>
      </c>
      <c r="P23" s="0" t="n">
        <v>83</v>
      </c>
      <c r="Q23" s="0" t="n">
        <v>848</v>
      </c>
      <c r="R23" s="0" t="n">
        <v>0</v>
      </c>
      <c r="S23" s="0" t="s">
        <v>299</v>
      </c>
    </row>
    <row r="24" customFormat="false" ht="15" hidden="false" customHeight="false" outlineLevel="0" collapsed="false">
      <c r="A24" s="0" t="s">
        <v>8</v>
      </c>
      <c r="B24" s="0" t="s">
        <v>295</v>
      </c>
      <c r="C24" s="0" t="s">
        <v>300</v>
      </c>
      <c r="D24" s="0" t="n">
        <v>16</v>
      </c>
      <c r="E24" s="0" t="s">
        <v>297</v>
      </c>
      <c r="F24" s="0" t="n">
        <v>64.5</v>
      </c>
      <c r="G24" s="0" t="s">
        <v>318</v>
      </c>
      <c r="H24" s="0" t="n">
        <v>7</v>
      </c>
      <c r="I24" s="0" t="n">
        <v>9</v>
      </c>
      <c r="J24" s="10" t="n">
        <v>0.434108527131783</v>
      </c>
      <c r="K24" s="10" t="n">
        <v>0.310077519379845</v>
      </c>
      <c r="L24" s="10" t="n">
        <v>0.186046511627907</v>
      </c>
      <c r="M24" s="10" t="n">
        <v>0.310077519379845</v>
      </c>
      <c r="N24" s="10" t="n">
        <v>0.186046511627907</v>
      </c>
      <c r="O24" s="10" t="n">
        <v>0.248062015503876</v>
      </c>
      <c r="P24" s="0" t="n">
        <v>83</v>
      </c>
      <c r="Q24" s="0" t="n">
        <v>848</v>
      </c>
      <c r="R24" s="0" t="n">
        <v>0</v>
      </c>
      <c r="S24" s="0" t="s">
        <v>299</v>
      </c>
    </row>
    <row r="25" customFormat="false" ht="15" hidden="false" customHeight="false" outlineLevel="0" collapsed="false">
      <c r="A25" s="0" t="s">
        <v>8</v>
      </c>
      <c r="B25" s="0" t="s">
        <v>295</v>
      </c>
      <c r="C25" s="0" t="s">
        <v>301</v>
      </c>
      <c r="D25" s="0" t="n">
        <v>16</v>
      </c>
      <c r="E25" s="0" t="s">
        <v>297</v>
      </c>
      <c r="F25" s="0" t="n">
        <v>24.25</v>
      </c>
      <c r="G25" s="0" t="s">
        <v>319</v>
      </c>
      <c r="H25" s="0" t="n">
        <v>25.5</v>
      </c>
      <c r="I25" s="0" t="n">
        <v>31</v>
      </c>
      <c r="J25" s="10" t="n">
        <v>0.144329896907217</v>
      </c>
      <c r="K25" s="10" t="n">
        <v>0.206185567010309</v>
      </c>
      <c r="L25" s="10" t="n">
        <v>0.0618556701030928</v>
      </c>
      <c r="M25" s="10" t="n">
        <v>0.103092783505155</v>
      </c>
      <c r="N25" s="10" t="n">
        <v>0.0618556701030928</v>
      </c>
      <c r="O25" s="10" t="n">
        <v>0.0824742268041237</v>
      </c>
      <c r="P25" s="0" t="n">
        <v>83</v>
      </c>
      <c r="Q25" s="0" t="n">
        <v>848</v>
      </c>
      <c r="R25" s="0" t="n">
        <v>7</v>
      </c>
      <c r="S25" s="0" t="s">
        <v>299</v>
      </c>
    </row>
    <row r="26" customFormat="false" ht="15" hidden="false" customHeight="false" outlineLevel="0" collapsed="false">
      <c r="A26" s="0" t="s">
        <v>8</v>
      </c>
      <c r="B26" s="0" t="s">
        <v>320</v>
      </c>
      <c r="C26" s="0" t="s">
        <v>296</v>
      </c>
      <c r="D26" s="0" t="n">
        <v>1</v>
      </c>
      <c r="E26" s="0" t="s">
        <v>297</v>
      </c>
      <c r="F26" s="0" t="n">
        <v>12</v>
      </c>
      <c r="G26" s="0" t="s">
        <v>298</v>
      </c>
      <c r="H26" s="0" t="n">
        <v>2</v>
      </c>
      <c r="I26" s="0" t="n">
        <v>3</v>
      </c>
      <c r="J26" s="10" t="n">
        <v>0.145833333333333</v>
      </c>
      <c r="K26" s="10" t="n">
        <v>0.208333333333333</v>
      </c>
      <c r="L26" s="10" t="n">
        <v>0.0625</v>
      </c>
      <c r="M26" s="10" t="n">
        <v>0.104166666666667</v>
      </c>
      <c r="N26" s="10" t="n">
        <v>0.0625</v>
      </c>
      <c r="O26" s="10" t="n">
        <v>0.0833333333333333</v>
      </c>
      <c r="P26" s="0" t="n">
        <v>6</v>
      </c>
      <c r="Q26" s="0" t="n">
        <v>53</v>
      </c>
      <c r="R26" s="0" t="n">
        <v>0</v>
      </c>
      <c r="S26" s="0" t="s">
        <v>299</v>
      </c>
      <c r="T26" s="0" t="s">
        <v>296</v>
      </c>
    </row>
    <row r="27" customFormat="false" ht="15" hidden="false" customHeight="false" outlineLevel="0" collapsed="false">
      <c r="A27" s="0" t="s">
        <v>8</v>
      </c>
      <c r="B27" s="0" t="s">
        <v>320</v>
      </c>
      <c r="C27" s="0" t="s">
        <v>300</v>
      </c>
      <c r="D27" s="0" t="n">
        <v>1</v>
      </c>
      <c r="E27" s="0" t="s">
        <v>297</v>
      </c>
      <c r="F27" s="0" t="n">
        <v>12</v>
      </c>
      <c r="G27" s="0" t="s">
        <v>298</v>
      </c>
      <c r="H27" s="0" t="n">
        <v>2</v>
      </c>
      <c r="I27" s="0" t="n">
        <v>3</v>
      </c>
      <c r="J27" s="10" t="n">
        <v>0.145833333333333</v>
      </c>
      <c r="K27" s="10" t="n">
        <v>0.208333333333333</v>
      </c>
      <c r="L27" s="10" t="n">
        <v>0.0625</v>
      </c>
      <c r="M27" s="10" t="n">
        <v>0.104166666666667</v>
      </c>
      <c r="N27" s="10" t="n">
        <v>0.0625</v>
      </c>
      <c r="O27" s="10" t="n">
        <v>0.0833333333333333</v>
      </c>
      <c r="P27" s="0" t="n">
        <v>6</v>
      </c>
      <c r="Q27" s="0" t="n">
        <v>53</v>
      </c>
      <c r="R27" s="0" t="n">
        <v>0</v>
      </c>
      <c r="S27" s="0" t="s">
        <v>299</v>
      </c>
      <c r="T27" s="0" t="s">
        <v>296</v>
      </c>
    </row>
    <row r="28" customFormat="false" ht="15" hidden="false" customHeight="false" outlineLevel="0" collapsed="false">
      <c r="A28" s="0" t="s">
        <v>8</v>
      </c>
      <c r="B28" s="0" t="s">
        <v>320</v>
      </c>
      <c r="C28" s="0" t="s">
        <v>301</v>
      </c>
      <c r="D28" s="0" t="n">
        <v>1</v>
      </c>
      <c r="E28" s="0" t="s">
        <v>297</v>
      </c>
      <c r="F28" s="0" t="n">
        <v>12</v>
      </c>
      <c r="G28" s="0" t="s">
        <v>298</v>
      </c>
      <c r="H28" s="0" t="n">
        <v>2</v>
      </c>
      <c r="I28" s="0" t="n">
        <v>3</v>
      </c>
      <c r="J28" s="10" t="n">
        <v>0.145833333333333</v>
      </c>
      <c r="K28" s="10" t="n">
        <v>0.208333333333333</v>
      </c>
      <c r="L28" s="10" t="n">
        <v>0.0625</v>
      </c>
      <c r="M28" s="10" t="n">
        <v>0.104166666666667</v>
      </c>
      <c r="N28" s="10" t="n">
        <v>0.0625</v>
      </c>
      <c r="O28" s="10" t="n">
        <v>0.0833333333333333</v>
      </c>
      <c r="P28" s="0" t="n">
        <v>6</v>
      </c>
      <c r="Q28" s="0" t="n">
        <v>53</v>
      </c>
      <c r="R28" s="0" t="n">
        <v>7</v>
      </c>
      <c r="S28" s="0" t="s">
        <v>299</v>
      </c>
      <c r="T28" s="0" t="s">
        <v>296</v>
      </c>
    </row>
    <row r="29" customFormat="false" ht="15" hidden="false" customHeight="false" outlineLevel="0" collapsed="false">
      <c r="A29" s="0" t="s">
        <v>8</v>
      </c>
      <c r="B29" s="0" t="s">
        <v>320</v>
      </c>
      <c r="C29" s="0" t="s">
        <v>296</v>
      </c>
      <c r="D29" s="0" t="n">
        <v>2</v>
      </c>
      <c r="E29" s="0" t="s">
        <v>297</v>
      </c>
      <c r="F29" s="0" t="n">
        <v>12</v>
      </c>
      <c r="G29" s="0" t="s">
        <v>304</v>
      </c>
      <c r="H29" s="0" t="n">
        <v>4</v>
      </c>
      <c r="I29" s="0" t="n">
        <v>5</v>
      </c>
      <c r="J29" s="10" t="n">
        <v>0.145833333333333</v>
      </c>
      <c r="K29" s="10" t="n">
        <v>0.208333333333333</v>
      </c>
      <c r="L29" s="10" t="n">
        <v>0.0625</v>
      </c>
      <c r="M29" s="10" t="n">
        <v>0.104166666666667</v>
      </c>
      <c r="N29" s="10" t="n">
        <v>0.0625</v>
      </c>
      <c r="O29" s="10" t="n">
        <v>0.0833333333333333</v>
      </c>
      <c r="P29" s="0" t="n">
        <v>11</v>
      </c>
      <c r="Q29" s="0" t="n">
        <v>106</v>
      </c>
      <c r="R29" s="0" t="n">
        <v>0</v>
      </c>
      <c r="S29" s="0" t="s">
        <v>299</v>
      </c>
      <c r="T29" s="0" t="s">
        <v>321</v>
      </c>
    </row>
    <row r="30" customFormat="false" ht="15" hidden="false" customHeight="false" outlineLevel="0" collapsed="false">
      <c r="A30" s="0" t="s">
        <v>8</v>
      </c>
      <c r="B30" s="0" t="s">
        <v>320</v>
      </c>
      <c r="C30" s="0" t="s">
        <v>300</v>
      </c>
      <c r="D30" s="0" t="n">
        <v>2</v>
      </c>
      <c r="E30" s="0" t="s">
        <v>297</v>
      </c>
      <c r="F30" s="0" t="n">
        <v>12</v>
      </c>
      <c r="G30" s="0" t="s">
        <v>304</v>
      </c>
      <c r="H30" s="0" t="n">
        <v>4</v>
      </c>
      <c r="I30" s="0" t="n">
        <v>5</v>
      </c>
      <c r="J30" s="10" t="n">
        <v>0.145833333333333</v>
      </c>
      <c r="K30" s="10" t="n">
        <v>0.208333333333333</v>
      </c>
      <c r="L30" s="10" t="n">
        <v>0.0625</v>
      </c>
      <c r="M30" s="10" t="n">
        <v>0.104166666666667</v>
      </c>
      <c r="N30" s="10" t="n">
        <v>0.0625</v>
      </c>
      <c r="O30" s="10" t="n">
        <v>0.0833333333333333</v>
      </c>
      <c r="P30" s="0" t="n">
        <v>11</v>
      </c>
      <c r="Q30" s="0" t="n">
        <v>106</v>
      </c>
      <c r="R30" s="0" t="n">
        <v>0</v>
      </c>
      <c r="S30" s="0" t="s">
        <v>299</v>
      </c>
      <c r="T30" s="0" t="s">
        <v>321</v>
      </c>
    </row>
    <row r="31" customFormat="false" ht="15" hidden="false" customHeight="false" outlineLevel="0" collapsed="false">
      <c r="A31" s="0" t="s">
        <v>8</v>
      </c>
      <c r="B31" s="0" t="s">
        <v>320</v>
      </c>
      <c r="C31" s="0" t="s">
        <v>301</v>
      </c>
      <c r="D31" s="0" t="n">
        <v>2</v>
      </c>
      <c r="E31" s="0" t="s">
        <v>297</v>
      </c>
      <c r="F31" s="0" t="n">
        <v>12</v>
      </c>
      <c r="G31" s="0" t="s">
        <v>304</v>
      </c>
      <c r="H31" s="0" t="n">
        <v>4</v>
      </c>
      <c r="I31" s="0" t="n">
        <v>6</v>
      </c>
      <c r="J31" s="10" t="n">
        <v>0.145833333333333</v>
      </c>
      <c r="K31" s="10" t="n">
        <v>0.208333333333333</v>
      </c>
      <c r="L31" s="10" t="n">
        <v>0.0625</v>
      </c>
      <c r="M31" s="10" t="n">
        <v>0.104166666666667</v>
      </c>
      <c r="N31" s="10" t="n">
        <v>0.0625</v>
      </c>
      <c r="O31" s="10" t="n">
        <v>0.0833333333333333</v>
      </c>
      <c r="P31" s="0" t="n">
        <v>11</v>
      </c>
      <c r="Q31" s="0" t="n">
        <v>106</v>
      </c>
      <c r="R31" s="0" t="n">
        <v>7</v>
      </c>
      <c r="S31" s="0" t="s">
        <v>299</v>
      </c>
      <c r="T31" s="0" t="s">
        <v>321</v>
      </c>
    </row>
    <row r="32" customFormat="false" ht="15" hidden="false" customHeight="false" outlineLevel="0" collapsed="false">
      <c r="A32" s="0" t="s">
        <v>8</v>
      </c>
      <c r="B32" s="0" t="s">
        <v>320</v>
      </c>
      <c r="C32" s="0" t="s">
        <v>296</v>
      </c>
      <c r="D32" s="0" t="n">
        <v>3</v>
      </c>
      <c r="E32" s="0" t="s">
        <v>297</v>
      </c>
      <c r="F32" s="0" t="n">
        <v>12</v>
      </c>
      <c r="G32" s="0" t="s">
        <v>307</v>
      </c>
      <c r="H32" s="0" t="n">
        <v>6</v>
      </c>
      <c r="I32" s="0" t="n">
        <v>7</v>
      </c>
      <c r="J32" s="10" t="n">
        <v>0.145833333333333</v>
      </c>
      <c r="K32" s="10" t="n">
        <v>0.208333333333333</v>
      </c>
      <c r="L32" s="10" t="n">
        <v>0.0625</v>
      </c>
      <c r="M32" s="10" t="n">
        <v>0.104166666666667</v>
      </c>
      <c r="N32" s="10" t="n">
        <v>0.0625</v>
      </c>
      <c r="O32" s="10" t="n">
        <v>0.0833333333333333</v>
      </c>
      <c r="P32" s="0" t="n">
        <v>16</v>
      </c>
      <c r="Q32" s="0" t="n">
        <v>159</v>
      </c>
      <c r="R32" s="0" t="n">
        <v>0</v>
      </c>
      <c r="S32" s="0" t="s">
        <v>299</v>
      </c>
      <c r="T32" s="0" t="s">
        <v>322</v>
      </c>
    </row>
    <row r="33" customFormat="false" ht="15" hidden="false" customHeight="false" outlineLevel="0" collapsed="false">
      <c r="A33" s="0" t="s">
        <v>8</v>
      </c>
      <c r="B33" s="0" t="s">
        <v>320</v>
      </c>
      <c r="C33" s="0" t="s">
        <v>300</v>
      </c>
      <c r="D33" s="0" t="n">
        <v>3</v>
      </c>
      <c r="E33" s="0" t="s">
        <v>297</v>
      </c>
      <c r="F33" s="0" t="n">
        <v>12</v>
      </c>
      <c r="G33" s="0" t="s">
        <v>307</v>
      </c>
      <c r="H33" s="0" t="n">
        <v>6</v>
      </c>
      <c r="I33" s="0" t="n">
        <v>7</v>
      </c>
      <c r="J33" s="10" t="n">
        <v>0.145833333333333</v>
      </c>
      <c r="K33" s="10" t="n">
        <v>0.208333333333333</v>
      </c>
      <c r="L33" s="10" t="n">
        <v>0.0625</v>
      </c>
      <c r="M33" s="10" t="n">
        <v>0.104166666666667</v>
      </c>
      <c r="N33" s="10" t="n">
        <v>0.0625</v>
      </c>
      <c r="O33" s="10" t="n">
        <v>0.0833333333333333</v>
      </c>
      <c r="P33" s="0" t="n">
        <v>16</v>
      </c>
      <c r="Q33" s="0" t="n">
        <v>159</v>
      </c>
      <c r="R33" s="0" t="n">
        <v>0</v>
      </c>
      <c r="S33" s="0" t="s">
        <v>299</v>
      </c>
      <c r="T33" s="0" t="s">
        <v>322</v>
      </c>
    </row>
    <row r="34" customFormat="false" ht="15" hidden="false" customHeight="false" outlineLevel="0" collapsed="false">
      <c r="A34" s="0" t="s">
        <v>8</v>
      </c>
      <c r="B34" s="0" t="s">
        <v>320</v>
      </c>
      <c r="C34" s="0" t="s">
        <v>301</v>
      </c>
      <c r="D34" s="0" t="n">
        <v>3</v>
      </c>
      <c r="E34" s="0" t="s">
        <v>297</v>
      </c>
      <c r="F34" s="0" t="n">
        <v>12</v>
      </c>
      <c r="G34" s="0" t="s">
        <v>307</v>
      </c>
      <c r="H34" s="0" t="n">
        <v>6</v>
      </c>
      <c r="I34" s="0" t="n">
        <v>9</v>
      </c>
      <c r="J34" s="10" t="n">
        <v>0.145833333333333</v>
      </c>
      <c r="K34" s="10" t="n">
        <v>0.208333333333333</v>
      </c>
      <c r="L34" s="10" t="n">
        <v>0.0625</v>
      </c>
      <c r="M34" s="10" t="n">
        <v>0.104166666666667</v>
      </c>
      <c r="N34" s="10" t="n">
        <v>0.0625</v>
      </c>
      <c r="O34" s="10" t="n">
        <v>0.0833333333333333</v>
      </c>
      <c r="P34" s="0" t="n">
        <v>16</v>
      </c>
      <c r="Q34" s="0" t="n">
        <v>159</v>
      </c>
      <c r="R34" s="0" t="n">
        <v>7</v>
      </c>
      <c r="S34" s="0" t="s">
        <v>299</v>
      </c>
      <c r="T34" s="0" t="s">
        <v>322</v>
      </c>
    </row>
    <row r="35" customFormat="false" ht="15" hidden="false" customHeight="false" outlineLevel="0" collapsed="false">
      <c r="A35" s="0" t="s">
        <v>8</v>
      </c>
      <c r="B35" s="0" t="s">
        <v>320</v>
      </c>
      <c r="C35" s="0" t="s">
        <v>296</v>
      </c>
      <c r="D35" s="0" t="n">
        <v>5</v>
      </c>
      <c r="E35" s="0" t="s">
        <v>297</v>
      </c>
      <c r="F35" s="0" t="n">
        <v>12</v>
      </c>
      <c r="G35" s="0" t="s">
        <v>323</v>
      </c>
      <c r="H35" s="0" t="n">
        <v>10</v>
      </c>
      <c r="I35" s="0" t="n">
        <v>11</v>
      </c>
      <c r="J35" s="10" t="n">
        <v>0.145833333333333</v>
      </c>
      <c r="K35" s="10" t="n">
        <v>0.208333333333333</v>
      </c>
      <c r="L35" s="10" t="n">
        <v>0.0625</v>
      </c>
      <c r="M35" s="10" t="n">
        <v>0.104166666666667</v>
      </c>
      <c r="N35" s="10" t="n">
        <v>0.0625</v>
      </c>
      <c r="O35" s="10" t="n">
        <v>0.0833333333333333</v>
      </c>
      <c r="P35" s="0" t="n">
        <v>26</v>
      </c>
      <c r="Q35" s="0" t="n">
        <v>265</v>
      </c>
      <c r="R35" s="0" t="n">
        <v>0</v>
      </c>
      <c r="S35" s="0" t="s">
        <v>299</v>
      </c>
      <c r="T35" s="0" t="s">
        <v>324</v>
      </c>
    </row>
    <row r="36" customFormat="false" ht="15" hidden="false" customHeight="false" outlineLevel="0" collapsed="false">
      <c r="A36" s="0" t="s">
        <v>8</v>
      </c>
      <c r="B36" s="0" t="s">
        <v>320</v>
      </c>
      <c r="C36" s="0" t="s">
        <v>300</v>
      </c>
      <c r="D36" s="0" t="n">
        <v>5</v>
      </c>
      <c r="E36" s="0" t="s">
        <v>297</v>
      </c>
      <c r="F36" s="0" t="n">
        <v>12</v>
      </c>
      <c r="G36" s="0" t="s">
        <v>323</v>
      </c>
      <c r="H36" s="0" t="n">
        <v>10</v>
      </c>
      <c r="I36" s="0" t="n">
        <v>11</v>
      </c>
      <c r="J36" s="10" t="n">
        <v>0.145833333333333</v>
      </c>
      <c r="K36" s="10" t="n">
        <v>0.208333333333333</v>
      </c>
      <c r="L36" s="10" t="n">
        <v>0.0625</v>
      </c>
      <c r="M36" s="10" t="n">
        <v>0.104166666666667</v>
      </c>
      <c r="N36" s="10" t="n">
        <v>0.0625</v>
      </c>
      <c r="O36" s="10" t="n">
        <v>0.0833333333333333</v>
      </c>
      <c r="P36" s="0" t="n">
        <v>26</v>
      </c>
      <c r="Q36" s="0" t="n">
        <v>265</v>
      </c>
      <c r="R36" s="0" t="n">
        <v>0</v>
      </c>
      <c r="S36" s="0" t="s">
        <v>299</v>
      </c>
      <c r="T36" s="0" t="s">
        <v>324</v>
      </c>
    </row>
    <row r="37" customFormat="false" ht="15" hidden="false" customHeight="false" outlineLevel="0" collapsed="false">
      <c r="A37" s="0" t="s">
        <v>8</v>
      </c>
      <c r="B37" s="0" t="s">
        <v>320</v>
      </c>
      <c r="C37" s="0" t="s">
        <v>301</v>
      </c>
      <c r="D37" s="0" t="n">
        <v>5</v>
      </c>
      <c r="E37" s="0" t="s">
        <v>297</v>
      </c>
      <c r="F37" s="0" t="n">
        <v>12</v>
      </c>
      <c r="G37" s="0" t="s">
        <v>323</v>
      </c>
      <c r="H37" s="0" t="n">
        <v>10</v>
      </c>
      <c r="I37" s="0" t="n">
        <v>15</v>
      </c>
      <c r="J37" s="10" t="n">
        <v>0.145833333333333</v>
      </c>
      <c r="K37" s="10" t="n">
        <v>0.208333333333333</v>
      </c>
      <c r="L37" s="10" t="n">
        <v>0.0625</v>
      </c>
      <c r="M37" s="10" t="n">
        <v>0.104166666666667</v>
      </c>
      <c r="N37" s="10" t="n">
        <v>0.0625</v>
      </c>
      <c r="O37" s="10" t="n">
        <v>0.0833333333333333</v>
      </c>
      <c r="P37" s="0" t="n">
        <v>26</v>
      </c>
      <c r="Q37" s="0" t="n">
        <v>265</v>
      </c>
      <c r="R37" s="0" t="n">
        <v>7</v>
      </c>
      <c r="S37" s="0" t="s">
        <v>299</v>
      </c>
      <c r="T37" s="0" t="s">
        <v>324</v>
      </c>
    </row>
    <row r="38" customFormat="false" ht="15" hidden="false" customHeight="false" outlineLevel="0" collapsed="false">
      <c r="A38" s="0" t="s">
        <v>8</v>
      </c>
      <c r="B38" s="0" t="s">
        <v>320</v>
      </c>
      <c r="C38" s="0" t="s">
        <v>296</v>
      </c>
      <c r="D38" s="0" t="n">
        <v>8</v>
      </c>
      <c r="E38" s="0" t="s">
        <v>297</v>
      </c>
      <c r="F38" s="0" t="n">
        <v>12</v>
      </c>
      <c r="G38" s="0" t="s">
        <v>325</v>
      </c>
      <c r="H38" s="0" t="n">
        <v>16</v>
      </c>
      <c r="I38" s="0" t="n">
        <v>17</v>
      </c>
      <c r="J38" s="10" t="n">
        <v>0.145833333333333</v>
      </c>
      <c r="K38" s="10" t="n">
        <v>0.208333333333333</v>
      </c>
      <c r="L38" s="10" t="n">
        <v>0.0625</v>
      </c>
      <c r="M38" s="10" t="n">
        <v>0.104166666666667</v>
      </c>
      <c r="N38" s="10" t="n">
        <v>0.0625</v>
      </c>
      <c r="O38" s="10" t="n">
        <v>0.0833333333333333</v>
      </c>
      <c r="P38" s="0" t="n">
        <v>42</v>
      </c>
      <c r="Q38" s="0" t="n">
        <v>424</v>
      </c>
      <c r="R38" s="0" t="n">
        <v>0</v>
      </c>
      <c r="S38" s="0" t="s">
        <v>299</v>
      </c>
      <c r="T38" s="0" t="s">
        <v>326</v>
      </c>
    </row>
    <row r="39" customFormat="false" ht="15" hidden="false" customHeight="false" outlineLevel="0" collapsed="false">
      <c r="A39" s="0" t="s">
        <v>8</v>
      </c>
      <c r="B39" s="0" t="s">
        <v>320</v>
      </c>
      <c r="C39" s="0" t="s">
        <v>300</v>
      </c>
      <c r="D39" s="0" t="n">
        <v>8</v>
      </c>
      <c r="E39" s="0" t="s">
        <v>297</v>
      </c>
      <c r="F39" s="0" t="n">
        <v>12</v>
      </c>
      <c r="G39" s="0" t="s">
        <v>325</v>
      </c>
      <c r="H39" s="0" t="n">
        <v>16</v>
      </c>
      <c r="I39" s="0" t="n">
        <v>17</v>
      </c>
      <c r="J39" s="10" t="n">
        <v>0.145833333333333</v>
      </c>
      <c r="K39" s="10" t="n">
        <v>0.208333333333333</v>
      </c>
      <c r="L39" s="10" t="n">
        <v>0.0625</v>
      </c>
      <c r="M39" s="10" t="n">
        <v>0.104166666666667</v>
      </c>
      <c r="N39" s="10" t="n">
        <v>0.0625</v>
      </c>
      <c r="O39" s="10" t="n">
        <v>0.0833333333333333</v>
      </c>
      <c r="P39" s="0" t="n">
        <v>42</v>
      </c>
      <c r="Q39" s="0" t="n">
        <v>424</v>
      </c>
      <c r="R39" s="0" t="n">
        <v>0</v>
      </c>
      <c r="S39" s="0" t="s">
        <v>299</v>
      </c>
      <c r="T39" s="0" t="s">
        <v>326</v>
      </c>
    </row>
    <row r="40" customFormat="false" ht="15" hidden="false" customHeight="false" outlineLevel="0" collapsed="false">
      <c r="A40" s="0" t="s">
        <v>8</v>
      </c>
      <c r="B40" s="0" t="s">
        <v>320</v>
      </c>
      <c r="C40" s="0" t="s">
        <v>301</v>
      </c>
      <c r="D40" s="0" t="n">
        <v>8</v>
      </c>
      <c r="E40" s="0" t="s">
        <v>297</v>
      </c>
      <c r="F40" s="0" t="n">
        <v>12</v>
      </c>
      <c r="G40" s="0" t="s">
        <v>325</v>
      </c>
      <c r="H40" s="0" t="n">
        <v>16</v>
      </c>
      <c r="I40" s="0" t="n">
        <v>24</v>
      </c>
      <c r="J40" s="10" t="n">
        <v>0.145833333333333</v>
      </c>
      <c r="K40" s="10" t="n">
        <v>0.208333333333333</v>
      </c>
      <c r="L40" s="10" t="n">
        <v>0.0625</v>
      </c>
      <c r="M40" s="10" t="n">
        <v>0.104166666666667</v>
      </c>
      <c r="N40" s="10" t="n">
        <v>0.0625</v>
      </c>
      <c r="O40" s="10" t="n">
        <v>0.0833333333333333</v>
      </c>
      <c r="P40" s="0" t="n">
        <v>42</v>
      </c>
      <c r="Q40" s="0" t="n">
        <v>424</v>
      </c>
      <c r="R40" s="0" t="n">
        <v>7</v>
      </c>
      <c r="S40" s="0" t="s">
        <v>299</v>
      </c>
      <c r="T40" s="0" t="s">
        <v>326</v>
      </c>
    </row>
    <row r="41" customFormat="false" ht="15" hidden="false" customHeight="false" outlineLevel="0" collapsed="false">
      <c r="A41" s="0" t="s">
        <v>8</v>
      </c>
      <c r="B41" s="0" t="s">
        <v>320</v>
      </c>
      <c r="C41" s="0" t="s">
        <v>296</v>
      </c>
      <c r="D41" s="0" t="n">
        <v>10</v>
      </c>
      <c r="E41" s="0" t="s">
        <v>297</v>
      </c>
      <c r="F41" s="0" t="n">
        <v>12</v>
      </c>
      <c r="G41" s="0" t="s">
        <v>327</v>
      </c>
      <c r="H41" s="0" t="n">
        <v>20</v>
      </c>
      <c r="I41" s="0" t="n">
        <v>21</v>
      </c>
      <c r="J41" s="10" t="n">
        <v>0.145833333333333</v>
      </c>
      <c r="K41" s="10" t="n">
        <v>0.208333333333333</v>
      </c>
      <c r="L41" s="10" t="n">
        <v>0.0625</v>
      </c>
      <c r="M41" s="10" t="n">
        <v>0.104166666666667</v>
      </c>
      <c r="N41" s="10" t="n">
        <v>0.0625</v>
      </c>
      <c r="O41" s="10" t="n">
        <v>0.0833333333333333</v>
      </c>
      <c r="P41" s="0" t="n">
        <v>52</v>
      </c>
      <c r="Q41" s="0" t="n">
        <v>530</v>
      </c>
      <c r="R41" s="0" t="n">
        <v>0</v>
      </c>
      <c r="S41" s="0" t="s">
        <v>299</v>
      </c>
      <c r="T41" s="0" t="s">
        <v>328</v>
      </c>
    </row>
    <row r="42" customFormat="false" ht="15" hidden="false" customHeight="false" outlineLevel="0" collapsed="false">
      <c r="A42" s="0" t="s">
        <v>8</v>
      </c>
      <c r="B42" s="0" t="s">
        <v>320</v>
      </c>
      <c r="C42" s="0" t="s">
        <v>300</v>
      </c>
      <c r="D42" s="0" t="n">
        <v>10</v>
      </c>
      <c r="E42" s="0" t="s">
        <v>297</v>
      </c>
      <c r="F42" s="0" t="n">
        <v>12</v>
      </c>
      <c r="G42" s="0" t="s">
        <v>327</v>
      </c>
      <c r="H42" s="0" t="n">
        <v>20</v>
      </c>
      <c r="I42" s="0" t="n">
        <v>21</v>
      </c>
      <c r="J42" s="10" t="n">
        <v>0.145833333333333</v>
      </c>
      <c r="K42" s="10" t="n">
        <v>0.208333333333333</v>
      </c>
      <c r="L42" s="10" t="n">
        <v>0.0625</v>
      </c>
      <c r="M42" s="10" t="n">
        <v>0.104166666666667</v>
      </c>
      <c r="N42" s="10" t="n">
        <v>0.0625</v>
      </c>
      <c r="O42" s="10" t="n">
        <v>0.0833333333333333</v>
      </c>
      <c r="P42" s="0" t="n">
        <v>52</v>
      </c>
      <c r="Q42" s="0" t="n">
        <v>530</v>
      </c>
      <c r="R42" s="0" t="n">
        <v>0</v>
      </c>
      <c r="S42" s="0" t="s">
        <v>299</v>
      </c>
      <c r="T42" s="0" t="s">
        <v>328</v>
      </c>
    </row>
    <row r="43" customFormat="false" ht="15" hidden="false" customHeight="false" outlineLevel="0" collapsed="false">
      <c r="A43" s="0" t="s">
        <v>8</v>
      </c>
      <c r="B43" s="0" t="s">
        <v>320</v>
      </c>
      <c r="C43" s="0" t="s">
        <v>301</v>
      </c>
      <c r="D43" s="0" t="n">
        <v>10</v>
      </c>
      <c r="E43" s="0" t="s">
        <v>297</v>
      </c>
      <c r="F43" s="0" t="n">
        <v>12</v>
      </c>
      <c r="G43" s="0" t="s">
        <v>327</v>
      </c>
      <c r="H43" s="0" t="n">
        <v>20</v>
      </c>
      <c r="I43" s="0" t="n">
        <v>28</v>
      </c>
      <c r="J43" s="10" t="n">
        <v>0.145833333333333</v>
      </c>
      <c r="K43" s="10" t="n">
        <v>0.208333333333333</v>
      </c>
      <c r="L43" s="10" t="n">
        <v>0.0625</v>
      </c>
      <c r="M43" s="10" t="n">
        <v>0.104166666666667</v>
      </c>
      <c r="N43" s="10" t="n">
        <v>0.0625</v>
      </c>
      <c r="O43" s="10" t="n">
        <v>0.0833333333333333</v>
      </c>
      <c r="P43" s="0" t="n">
        <v>52</v>
      </c>
      <c r="Q43" s="0" t="n">
        <v>530</v>
      </c>
      <c r="R43" s="0" t="n">
        <v>7</v>
      </c>
      <c r="S43" s="0" t="s">
        <v>299</v>
      </c>
      <c r="T43" s="0" t="s">
        <v>328</v>
      </c>
    </row>
    <row r="44" customFormat="false" ht="15" hidden="false" customHeight="false" outlineLevel="0" collapsed="false">
      <c r="A44" s="0" t="s">
        <v>8</v>
      </c>
      <c r="B44" s="0" t="s">
        <v>320</v>
      </c>
      <c r="C44" s="0" t="s">
        <v>296</v>
      </c>
      <c r="D44" s="0" t="n">
        <v>16</v>
      </c>
      <c r="E44" s="0" t="s">
        <v>297</v>
      </c>
      <c r="F44" s="0" t="n">
        <v>12</v>
      </c>
      <c r="G44" s="0" t="s">
        <v>329</v>
      </c>
      <c r="H44" s="0" t="n">
        <v>32</v>
      </c>
      <c r="I44" s="0" t="n">
        <v>33</v>
      </c>
      <c r="J44" s="10" t="n">
        <v>0.145833333333333</v>
      </c>
      <c r="K44" s="10" t="n">
        <v>0.208333333333333</v>
      </c>
      <c r="L44" s="10" t="n">
        <v>0.0625</v>
      </c>
      <c r="M44" s="10" t="n">
        <v>0.104166666666667</v>
      </c>
      <c r="N44" s="10" t="n">
        <v>0.0625</v>
      </c>
      <c r="O44" s="10" t="n">
        <v>0.0833333333333333</v>
      </c>
      <c r="P44" s="0" t="n">
        <v>83</v>
      </c>
      <c r="Q44" s="0" t="n">
        <v>848</v>
      </c>
      <c r="R44" s="0" t="n">
        <v>0</v>
      </c>
      <c r="S44" s="0" t="s">
        <v>299</v>
      </c>
      <c r="T44" s="0" t="s">
        <v>330</v>
      </c>
    </row>
    <row r="45" customFormat="false" ht="15" hidden="false" customHeight="false" outlineLevel="0" collapsed="false">
      <c r="A45" s="0" t="s">
        <v>8</v>
      </c>
      <c r="B45" s="0" t="s">
        <v>320</v>
      </c>
      <c r="C45" s="0" t="s">
        <v>300</v>
      </c>
      <c r="D45" s="0" t="n">
        <v>16</v>
      </c>
      <c r="E45" s="0" t="s">
        <v>297</v>
      </c>
      <c r="F45" s="0" t="n">
        <v>12</v>
      </c>
      <c r="G45" s="0" t="s">
        <v>329</v>
      </c>
      <c r="H45" s="0" t="n">
        <v>32</v>
      </c>
      <c r="I45" s="0" t="n">
        <v>33</v>
      </c>
      <c r="J45" s="10" t="n">
        <v>0.145833333333333</v>
      </c>
      <c r="K45" s="10" t="n">
        <v>0.208333333333333</v>
      </c>
      <c r="L45" s="10" t="n">
        <v>0.0625</v>
      </c>
      <c r="M45" s="10" t="n">
        <v>0.104166666666667</v>
      </c>
      <c r="N45" s="10" t="n">
        <v>0.0625</v>
      </c>
      <c r="O45" s="10" t="n">
        <v>0.0833333333333333</v>
      </c>
      <c r="P45" s="0" t="n">
        <v>83</v>
      </c>
      <c r="Q45" s="0" t="n">
        <v>848</v>
      </c>
      <c r="R45" s="0" t="n">
        <v>0</v>
      </c>
      <c r="S45" s="0" t="s">
        <v>299</v>
      </c>
      <c r="T45" s="0" t="s">
        <v>330</v>
      </c>
    </row>
    <row r="46" customFormat="false" ht="15" hidden="false" customHeight="false" outlineLevel="0" collapsed="false">
      <c r="A46" s="0" t="s">
        <v>8</v>
      </c>
      <c r="B46" s="0" t="s">
        <v>320</v>
      </c>
      <c r="C46" s="0" t="s">
        <v>301</v>
      </c>
      <c r="D46" s="0" t="n">
        <v>16</v>
      </c>
      <c r="E46" s="0" t="s">
        <v>297</v>
      </c>
      <c r="F46" s="0" t="n">
        <v>12</v>
      </c>
      <c r="G46" s="0" t="s">
        <v>329</v>
      </c>
      <c r="H46" s="0" t="n">
        <v>32</v>
      </c>
      <c r="I46" s="0" t="n">
        <v>40</v>
      </c>
      <c r="J46" s="10" t="n">
        <v>0.145833333333333</v>
      </c>
      <c r="K46" s="10" t="n">
        <v>0.208333333333333</v>
      </c>
      <c r="L46" s="10" t="n">
        <v>0.0625</v>
      </c>
      <c r="M46" s="10" t="n">
        <v>0.104166666666667</v>
      </c>
      <c r="N46" s="10" t="n">
        <v>0.0625</v>
      </c>
      <c r="O46" s="10" t="n">
        <v>0.0833333333333333</v>
      </c>
      <c r="P46" s="0" t="n">
        <v>83</v>
      </c>
      <c r="Q46" s="0" t="n">
        <v>848</v>
      </c>
      <c r="R46" s="0" t="n">
        <v>7</v>
      </c>
      <c r="S46" s="0" t="s">
        <v>299</v>
      </c>
      <c r="T46" s="0" t="s">
        <v>330</v>
      </c>
    </row>
    <row r="47" customFormat="false" ht="15" hidden="false" customHeight="false" outlineLevel="0" collapsed="false">
      <c r="A47" s="0" t="s">
        <v>331</v>
      </c>
      <c r="B47" s="0" t="s">
        <v>295</v>
      </c>
      <c r="C47" s="0" t="s">
        <v>296</v>
      </c>
      <c r="D47" s="0" t="n">
        <v>1</v>
      </c>
      <c r="E47" s="0" t="s">
        <v>297</v>
      </c>
      <c r="F47" s="0" t="n">
        <v>20.75</v>
      </c>
      <c r="G47" s="0" t="s">
        <v>298</v>
      </c>
      <c r="H47" s="0" t="n">
        <v>2</v>
      </c>
      <c r="I47" s="0" t="n">
        <v>3</v>
      </c>
      <c r="J47" s="10" t="n">
        <v>0.148433734939759</v>
      </c>
      <c r="K47" s="10" t="n">
        <v>0.341204819277108</v>
      </c>
      <c r="L47" s="10" t="n">
        <v>0.0804819277108434</v>
      </c>
      <c r="M47" s="10" t="n">
        <v>0.152771084337349</v>
      </c>
      <c r="N47" s="10" t="n">
        <v>0.0120481927710843</v>
      </c>
      <c r="O47" s="10" t="n">
        <v>0.0159036144578313</v>
      </c>
      <c r="P47" s="0" t="n">
        <v>6</v>
      </c>
      <c r="Q47" s="0" t="n">
        <v>53</v>
      </c>
      <c r="R47" s="0" t="n">
        <v>0</v>
      </c>
      <c r="S47" s="0" t="s">
        <v>299</v>
      </c>
    </row>
    <row r="48" customFormat="false" ht="15" hidden="false" customHeight="false" outlineLevel="0" collapsed="false">
      <c r="A48" s="0" t="s">
        <v>331</v>
      </c>
      <c r="B48" s="0" t="s">
        <v>295</v>
      </c>
      <c r="C48" s="0" t="s">
        <v>300</v>
      </c>
      <c r="D48" s="0" t="n">
        <v>1</v>
      </c>
      <c r="E48" s="0" t="s">
        <v>297</v>
      </c>
      <c r="F48" s="0" t="n">
        <v>20.75</v>
      </c>
      <c r="G48" s="0" t="s">
        <v>298</v>
      </c>
      <c r="H48" s="0" t="n">
        <v>2</v>
      </c>
      <c r="I48" s="0" t="n">
        <v>3</v>
      </c>
      <c r="J48" s="10" t="n">
        <v>0.148433734939759</v>
      </c>
      <c r="K48" s="10" t="n">
        <v>0.170602409638554</v>
      </c>
      <c r="L48" s="10" t="n">
        <v>0.0804819277108434</v>
      </c>
      <c r="M48" s="10" t="n">
        <v>0.152771084337349</v>
      </c>
      <c r="N48" s="10" t="n">
        <v>0.0120481927710843</v>
      </c>
      <c r="O48" s="10" t="n">
        <v>0.0159036144578313</v>
      </c>
      <c r="P48" s="0" t="n">
        <v>6</v>
      </c>
      <c r="Q48" s="0" t="n">
        <v>53</v>
      </c>
      <c r="R48" s="0" t="n">
        <v>0</v>
      </c>
      <c r="S48" s="0" t="s">
        <v>299</v>
      </c>
    </row>
    <row r="49" customFormat="false" ht="15" hidden="false" customHeight="false" outlineLevel="0" collapsed="false">
      <c r="A49" s="0" t="s">
        <v>331</v>
      </c>
      <c r="B49" s="0" t="s">
        <v>295</v>
      </c>
      <c r="C49" s="0" t="s">
        <v>301</v>
      </c>
      <c r="D49" s="0" t="n">
        <v>1</v>
      </c>
      <c r="E49" s="0" t="s">
        <v>297</v>
      </c>
      <c r="F49" s="0" t="n">
        <v>20.75</v>
      </c>
      <c r="G49" s="0" t="s">
        <v>298</v>
      </c>
      <c r="H49" s="0" t="n">
        <v>2</v>
      </c>
      <c r="I49" s="0" t="n">
        <v>3</v>
      </c>
      <c r="J49" s="10" t="n">
        <v>0.0185542168674699</v>
      </c>
      <c r="K49" s="10" t="n">
        <v>0.0426506024096386</v>
      </c>
      <c r="L49" s="10" t="n">
        <v>0.0100602409638554</v>
      </c>
      <c r="M49" s="10" t="n">
        <v>0.0190963855421687</v>
      </c>
      <c r="N49" s="10" t="n">
        <v>0.00150602409638554</v>
      </c>
      <c r="O49" s="10" t="n">
        <v>0.00198795180722892</v>
      </c>
      <c r="P49" s="0" t="n">
        <v>6</v>
      </c>
      <c r="Q49" s="0" t="n">
        <v>53</v>
      </c>
      <c r="R49" s="0" t="n">
        <v>4</v>
      </c>
      <c r="S49" s="0" t="s">
        <v>332</v>
      </c>
    </row>
    <row r="50" customFormat="false" ht="15" hidden="false" customHeight="false" outlineLevel="0" collapsed="false">
      <c r="A50" s="0" t="s">
        <v>331</v>
      </c>
      <c r="B50" s="0" t="s">
        <v>295</v>
      </c>
      <c r="C50" s="0" t="s">
        <v>296</v>
      </c>
      <c r="D50" s="0" t="n">
        <v>2</v>
      </c>
      <c r="E50" s="0" t="s">
        <v>297</v>
      </c>
      <c r="F50" s="0" t="n">
        <v>34.67</v>
      </c>
      <c r="G50" s="0" t="s">
        <v>333</v>
      </c>
      <c r="H50" s="0" t="n">
        <v>3</v>
      </c>
      <c r="I50" s="0" t="n">
        <v>4.5</v>
      </c>
      <c r="J50" s="10" t="n">
        <v>0.177675223536198</v>
      </c>
      <c r="K50" s="10" t="n">
        <v>0.408422267089703</v>
      </c>
      <c r="L50" s="10" t="n">
        <v>0.0963368906835881</v>
      </c>
      <c r="M50" s="10" t="n">
        <v>0.182867032016152</v>
      </c>
      <c r="N50" s="10" t="n">
        <v>0.014421690222094</v>
      </c>
      <c r="O50" s="10" t="n">
        <v>0.0190366310931641</v>
      </c>
      <c r="P50" s="0" t="n">
        <v>11</v>
      </c>
      <c r="Q50" s="0" t="n">
        <v>106</v>
      </c>
      <c r="R50" s="0" t="n">
        <v>0</v>
      </c>
      <c r="S50" s="0" t="s">
        <v>299</v>
      </c>
    </row>
    <row r="51" customFormat="false" ht="15" hidden="false" customHeight="false" outlineLevel="0" collapsed="false">
      <c r="A51" s="0" t="s">
        <v>331</v>
      </c>
      <c r="B51" s="0" t="s">
        <v>295</v>
      </c>
      <c r="C51" s="0" t="s">
        <v>300</v>
      </c>
      <c r="D51" s="0" t="n">
        <v>2</v>
      </c>
      <c r="E51" s="0" t="s">
        <v>297</v>
      </c>
      <c r="F51" s="0" t="n">
        <v>25</v>
      </c>
      <c r="G51" s="0" t="s">
        <v>334</v>
      </c>
      <c r="H51" s="0" t="n">
        <v>3</v>
      </c>
      <c r="I51" s="0" t="n">
        <v>4.5</v>
      </c>
      <c r="J51" s="10" t="n">
        <v>0.2464</v>
      </c>
      <c r="K51" s="10" t="n">
        <v>0.2832</v>
      </c>
      <c r="L51" s="10" t="n">
        <v>0.1336</v>
      </c>
      <c r="M51" s="10" t="n">
        <v>0.2536</v>
      </c>
      <c r="N51" s="10" t="n">
        <v>0.02</v>
      </c>
      <c r="O51" s="10" t="n">
        <v>0.0264</v>
      </c>
      <c r="P51" s="0" t="n">
        <v>11</v>
      </c>
      <c r="Q51" s="0" t="n">
        <v>106</v>
      </c>
      <c r="R51" s="0" t="n">
        <v>0</v>
      </c>
      <c r="S51" s="0" t="s">
        <v>299</v>
      </c>
    </row>
    <row r="52" customFormat="false" ht="15" hidden="false" customHeight="false" outlineLevel="0" collapsed="false">
      <c r="A52" s="0" t="s">
        <v>331</v>
      </c>
      <c r="B52" s="0" t="s">
        <v>295</v>
      </c>
      <c r="C52" s="0" t="s">
        <v>301</v>
      </c>
      <c r="D52" s="0" t="n">
        <v>2</v>
      </c>
      <c r="E52" s="0" t="s">
        <v>297</v>
      </c>
      <c r="F52" s="0" t="n">
        <v>20.75</v>
      </c>
      <c r="G52" s="0" t="s">
        <v>304</v>
      </c>
      <c r="H52" s="0" t="n">
        <v>4</v>
      </c>
      <c r="I52" s="0" t="n">
        <v>6</v>
      </c>
      <c r="J52" s="10" t="n">
        <v>0.0371084337349398</v>
      </c>
      <c r="K52" s="10" t="n">
        <v>0.0853012048192771</v>
      </c>
      <c r="L52" s="10" t="n">
        <v>0.0201204819277108</v>
      </c>
      <c r="M52" s="10" t="n">
        <v>0.0381927710843374</v>
      </c>
      <c r="N52" s="10" t="n">
        <v>0.00301204819277108</v>
      </c>
      <c r="O52" s="10" t="n">
        <v>0.00397590361445783</v>
      </c>
      <c r="P52" s="0" t="n">
        <v>11</v>
      </c>
      <c r="Q52" s="0" t="n">
        <v>106</v>
      </c>
      <c r="R52" s="0" t="n">
        <v>4</v>
      </c>
      <c r="S52" s="0" t="s">
        <v>332</v>
      </c>
    </row>
    <row r="53" customFormat="false" ht="15" hidden="false" customHeight="false" outlineLevel="0" collapsed="false">
      <c r="A53" s="0" t="s">
        <v>331</v>
      </c>
      <c r="B53" s="0" t="s">
        <v>295</v>
      </c>
      <c r="C53" s="0" t="s">
        <v>296</v>
      </c>
      <c r="D53" s="0" t="n">
        <v>3</v>
      </c>
      <c r="E53" s="0" t="s">
        <v>297</v>
      </c>
      <c r="F53" s="0" t="n">
        <v>48.59</v>
      </c>
      <c r="G53" s="0" t="s">
        <v>335</v>
      </c>
      <c r="H53" s="0" t="n">
        <v>3</v>
      </c>
      <c r="I53" s="0" t="n">
        <v>4.5</v>
      </c>
      <c r="J53" s="10" t="n">
        <v>0.190162584894011</v>
      </c>
      <c r="K53" s="10" t="n">
        <v>0.437126980860259</v>
      </c>
      <c r="L53" s="10" t="n">
        <v>0.103107635315909</v>
      </c>
      <c r="M53" s="10" t="n">
        <v>0.195719283803252</v>
      </c>
      <c r="N53" s="10" t="n">
        <v>0.0154352747478905</v>
      </c>
      <c r="O53" s="10" t="n">
        <v>0.0203745626672155</v>
      </c>
      <c r="P53" s="0" t="n">
        <v>16</v>
      </c>
      <c r="Q53" s="0" t="n">
        <v>159</v>
      </c>
      <c r="R53" s="0" t="n">
        <v>0</v>
      </c>
      <c r="S53" s="0" t="s">
        <v>299</v>
      </c>
    </row>
    <row r="54" customFormat="false" ht="15" hidden="false" customHeight="false" outlineLevel="0" collapsed="false">
      <c r="A54" s="0" t="s">
        <v>331</v>
      </c>
      <c r="B54" s="0" t="s">
        <v>295</v>
      </c>
      <c r="C54" s="0" t="s">
        <v>300</v>
      </c>
      <c r="D54" s="0" t="n">
        <v>3</v>
      </c>
      <c r="E54" s="0" t="s">
        <v>297</v>
      </c>
      <c r="F54" s="0" t="n">
        <v>34.67</v>
      </c>
      <c r="G54" s="0" t="s">
        <v>336</v>
      </c>
      <c r="H54" s="0" t="n">
        <v>4</v>
      </c>
      <c r="I54" s="0" t="n">
        <v>5</v>
      </c>
      <c r="J54" s="10" t="n">
        <v>0.266512835304298</v>
      </c>
      <c r="K54" s="10" t="n">
        <v>0.306316700317277</v>
      </c>
      <c r="L54" s="10" t="n">
        <v>0.144505336025382</v>
      </c>
      <c r="M54" s="10" t="n">
        <v>0.274300548024228</v>
      </c>
      <c r="N54" s="10" t="n">
        <v>0.021632535333141</v>
      </c>
      <c r="O54" s="10" t="n">
        <v>0.0285549466397462</v>
      </c>
      <c r="P54" s="0" t="n">
        <v>16</v>
      </c>
      <c r="Q54" s="0" t="n">
        <v>159</v>
      </c>
      <c r="R54" s="0" t="n">
        <v>0</v>
      </c>
      <c r="S54" s="0" t="s">
        <v>299</v>
      </c>
    </row>
    <row r="55" customFormat="false" ht="15" hidden="false" customHeight="false" outlineLevel="0" collapsed="false">
      <c r="A55" s="0" t="s">
        <v>331</v>
      </c>
      <c r="B55" s="0" t="s">
        <v>295</v>
      </c>
      <c r="C55" s="0" t="s">
        <v>301</v>
      </c>
      <c r="D55" s="0" t="n">
        <v>3</v>
      </c>
      <c r="E55" s="0" t="s">
        <v>297</v>
      </c>
      <c r="F55" s="0" t="n">
        <v>20.75</v>
      </c>
      <c r="G55" s="0" t="s">
        <v>307</v>
      </c>
      <c r="H55" s="0" t="n">
        <v>6</v>
      </c>
      <c r="I55" s="0" t="n">
        <v>9</v>
      </c>
      <c r="J55" s="10" t="n">
        <v>0.0556626506024096</v>
      </c>
      <c r="K55" s="10" t="n">
        <v>0.127951807228916</v>
      </c>
      <c r="L55" s="10" t="n">
        <v>0.0301807228915663</v>
      </c>
      <c r="M55" s="10" t="n">
        <v>0.057289156626506</v>
      </c>
      <c r="N55" s="10" t="n">
        <v>0.00451807228915663</v>
      </c>
      <c r="O55" s="10" t="n">
        <v>0.00596385542168675</v>
      </c>
      <c r="P55" s="0" t="n">
        <v>16</v>
      </c>
      <c r="Q55" s="0" t="n">
        <v>159</v>
      </c>
      <c r="R55" s="0" t="n">
        <v>4</v>
      </c>
      <c r="S55" s="0" t="s">
        <v>332</v>
      </c>
    </row>
    <row r="56" customFormat="false" ht="15" hidden="false" customHeight="false" outlineLevel="0" collapsed="false">
      <c r="A56" s="0" t="s">
        <v>331</v>
      </c>
      <c r="B56" s="0" t="s">
        <v>295</v>
      </c>
      <c r="C56" s="0" t="s">
        <v>296</v>
      </c>
      <c r="D56" s="0" t="n">
        <v>5</v>
      </c>
      <c r="E56" s="0" t="s">
        <v>297</v>
      </c>
      <c r="F56" s="0" t="n">
        <v>76.43</v>
      </c>
      <c r="G56" s="0" t="s">
        <v>337</v>
      </c>
      <c r="H56" s="0" t="n">
        <v>3</v>
      </c>
      <c r="I56" s="0" t="n">
        <v>5</v>
      </c>
      <c r="J56" s="10" t="n">
        <v>0.201491560905404</v>
      </c>
      <c r="K56" s="10" t="n">
        <v>0.463168912730603</v>
      </c>
      <c r="L56" s="10" t="n">
        <v>0.109250294387021</v>
      </c>
      <c r="M56" s="10" t="n">
        <v>0.207379301321471</v>
      </c>
      <c r="N56" s="10" t="n">
        <v>0.016354834489075</v>
      </c>
      <c r="O56" s="10" t="n">
        <v>0.021588381525579</v>
      </c>
      <c r="P56" s="0" t="n">
        <v>26</v>
      </c>
      <c r="Q56" s="0" t="n">
        <v>265</v>
      </c>
      <c r="R56" s="0" t="n">
        <v>0</v>
      </c>
      <c r="S56" s="0" t="s">
        <v>299</v>
      </c>
    </row>
    <row r="57" customFormat="false" ht="15" hidden="false" customHeight="false" outlineLevel="0" collapsed="false">
      <c r="A57" s="0" t="s">
        <v>331</v>
      </c>
      <c r="B57" s="0" t="s">
        <v>295</v>
      </c>
      <c r="C57" s="0" t="s">
        <v>300</v>
      </c>
      <c r="D57" s="0" t="n">
        <v>5</v>
      </c>
      <c r="E57" s="0" t="s">
        <v>297</v>
      </c>
      <c r="F57" s="0" t="n">
        <v>48.59</v>
      </c>
      <c r="G57" s="0" t="s">
        <v>338</v>
      </c>
      <c r="H57" s="0" t="n">
        <v>6</v>
      </c>
      <c r="I57" s="0" t="n">
        <v>6.5</v>
      </c>
      <c r="J57" s="10" t="n">
        <v>0.316937641490019</v>
      </c>
      <c r="K57" s="10" t="n">
        <v>0.364272484050216</v>
      </c>
      <c r="L57" s="10" t="n">
        <v>0.171846058859848</v>
      </c>
      <c r="M57" s="10" t="n">
        <v>0.326198806338753</v>
      </c>
      <c r="N57" s="10" t="n">
        <v>0.0257254579131509</v>
      </c>
      <c r="O57" s="10" t="n">
        <v>0.0339576044453591</v>
      </c>
      <c r="P57" s="0" t="n">
        <v>26</v>
      </c>
      <c r="Q57" s="0" t="n">
        <v>265</v>
      </c>
      <c r="R57" s="0" t="n">
        <v>0</v>
      </c>
      <c r="S57" s="0" t="s">
        <v>299</v>
      </c>
    </row>
    <row r="58" customFormat="false" ht="15" hidden="false" customHeight="false" outlineLevel="0" collapsed="false">
      <c r="A58" s="0" t="s">
        <v>331</v>
      </c>
      <c r="B58" s="0" t="s">
        <v>295</v>
      </c>
      <c r="C58" s="0" t="s">
        <v>301</v>
      </c>
      <c r="D58" s="0" t="n">
        <v>5</v>
      </c>
      <c r="E58" s="0" t="s">
        <v>297</v>
      </c>
      <c r="F58" s="0" t="n">
        <v>25</v>
      </c>
      <c r="G58" s="0" t="s">
        <v>339</v>
      </c>
      <c r="H58" s="0" t="n">
        <v>9</v>
      </c>
      <c r="I58" s="0" t="n">
        <v>14</v>
      </c>
      <c r="J58" s="10" t="n">
        <v>0.077</v>
      </c>
      <c r="K58" s="10" t="n">
        <v>0.177</v>
      </c>
      <c r="L58" s="10" t="n">
        <v>0.04175</v>
      </c>
      <c r="M58" s="10" t="n">
        <v>0.07925</v>
      </c>
      <c r="N58" s="10" t="n">
        <v>0.00625</v>
      </c>
      <c r="O58" s="10" t="n">
        <v>0.00825</v>
      </c>
      <c r="P58" s="0" t="n">
        <v>26</v>
      </c>
      <c r="Q58" s="0" t="n">
        <v>265</v>
      </c>
      <c r="R58" s="0" t="n">
        <v>4</v>
      </c>
      <c r="S58" s="0" t="s">
        <v>332</v>
      </c>
    </row>
    <row r="59" customFormat="false" ht="15" hidden="false" customHeight="false" outlineLevel="0" collapsed="false">
      <c r="A59" s="0" t="s">
        <v>331</v>
      </c>
      <c r="B59" s="0" t="s">
        <v>295</v>
      </c>
      <c r="C59" s="0" t="s">
        <v>296</v>
      </c>
      <c r="D59" s="0" t="n">
        <v>8</v>
      </c>
      <c r="E59" s="0" t="s">
        <v>297</v>
      </c>
      <c r="F59" s="0" t="n">
        <v>118.19</v>
      </c>
      <c r="G59" s="0" t="s">
        <v>340</v>
      </c>
      <c r="H59" s="0" t="n">
        <v>3</v>
      </c>
      <c r="I59" s="0" t="n">
        <v>5</v>
      </c>
      <c r="J59" s="10" t="n">
        <v>0.208477874608681</v>
      </c>
      <c r="K59" s="10" t="n">
        <v>0.479228361113461</v>
      </c>
      <c r="L59" s="10" t="n">
        <v>0.113038328115746</v>
      </c>
      <c r="M59" s="10" t="n">
        <v>0.214569760555039</v>
      </c>
      <c r="N59" s="10" t="n">
        <v>0.0169219054065488</v>
      </c>
      <c r="O59" s="10" t="n">
        <v>0.0223369151366444</v>
      </c>
      <c r="P59" s="0" t="n">
        <v>42</v>
      </c>
      <c r="Q59" s="0" t="n">
        <v>424</v>
      </c>
      <c r="R59" s="0" t="n">
        <v>0</v>
      </c>
      <c r="S59" s="0" t="s">
        <v>299</v>
      </c>
    </row>
    <row r="60" customFormat="false" ht="15" hidden="false" customHeight="false" outlineLevel="0" collapsed="false">
      <c r="A60" s="0" t="s">
        <v>331</v>
      </c>
      <c r="B60" s="0" t="s">
        <v>295</v>
      </c>
      <c r="C60" s="0" t="s">
        <v>300</v>
      </c>
      <c r="D60" s="0" t="n">
        <v>8</v>
      </c>
      <c r="E60" s="0" t="s">
        <v>297</v>
      </c>
      <c r="F60" s="0" t="n">
        <v>66.76</v>
      </c>
      <c r="G60" s="0" t="s">
        <v>341</v>
      </c>
      <c r="H60" s="0" t="n">
        <v>6</v>
      </c>
      <c r="I60" s="0" t="n">
        <v>7</v>
      </c>
      <c r="J60" s="10" t="n">
        <v>0.369083283403235</v>
      </c>
      <c r="K60" s="10" t="n">
        <v>0.424206111443978</v>
      </c>
      <c r="L60" s="10" t="n">
        <v>0.200119832234871</v>
      </c>
      <c r="M60" s="10" t="n">
        <v>0.379868184541642</v>
      </c>
      <c r="N60" s="10" t="n">
        <v>0.0299580587177951</v>
      </c>
      <c r="O60" s="10" t="n">
        <v>0.0395446375074895</v>
      </c>
      <c r="P60" s="0" t="n">
        <v>42</v>
      </c>
      <c r="Q60" s="0" t="n">
        <v>424</v>
      </c>
      <c r="R60" s="0" t="n">
        <v>0</v>
      </c>
      <c r="S60" s="0" t="s">
        <v>299</v>
      </c>
    </row>
    <row r="61" customFormat="false" ht="15" hidden="false" customHeight="false" outlineLevel="0" collapsed="false">
      <c r="A61" s="0" t="s">
        <v>331</v>
      </c>
      <c r="B61" s="0" t="s">
        <v>295</v>
      </c>
      <c r="C61" s="0" t="s">
        <v>301</v>
      </c>
      <c r="D61" s="0" t="n">
        <v>8</v>
      </c>
      <c r="E61" s="0" t="s">
        <v>297</v>
      </c>
      <c r="F61" s="0" t="n">
        <v>33.5</v>
      </c>
      <c r="G61" s="0" t="s">
        <v>342</v>
      </c>
      <c r="H61" s="0" t="n">
        <v>12.5</v>
      </c>
      <c r="I61" s="0" t="n">
        <v>25</v>
      </c>
      <c r="J61" s="10" t="n">
        <v>0.0919402985074627</v>
      </c>
      <c r="K61" s="10" t="n">
        <v>0.21134328358209</v>
      </c>
      <c r="L61" s="10" t="n">
        <v>0.0498507462686567</v>
      </c>
      <c r="M61" s="10" t="n">
        <v>0.0946268656716418</v>
      </c>
      <c r="N61" s="10" t="n">
        <v>0.00746268656716418</v>
      </c>
      <c r="O61" s="10" t="n">
        <v>0.00985074626865672</v>
      </c>
      <c r="P61" s="0" t="n">
        <v>42</v>
      </c>
      <c r="Q61" s="0" t="n">
        <v>424</v>
      </c>
      <c r="R61" s="0" t="n">
        <v>4</v>
      </c>
      <c r="S61" s="0" t="s">
        <v>332</v>
      </c>
    </row>
    <row r="62" customFormat="false" ht="15" hidden="false" customHeight="false" outlineLevel="0" collapsed="false">
      <c r="A62" s="0" t="s">
        <v>331</v>
      </c>
      <c r="B62" s="0" t="s">
        <v>295</v>
      </c>
      <c r="C62" s="0" t="s">
        <v>296</v>
      </c>
      <c r="D62" s="0" t="n">
        <v>10</v>
      </c>
      <c r="E62" s="0" t="s">
        <v>297</v>
      </c>
      <c r="F62" s="0" t="n">
        <v>146.03</v>
      </c>
      <c r="G62" s="0" t="s">
        <v>343</v>
      </c>
      <c r="H62" s="0" t="n">
        <v>3</v>
      </c>
      <c r="I62" s="0" t="n">
        <v>5</v>
      </c>
      <c r="J62" s="10" t="n">
        <v>0.210915565294802</v>
      </c>
      <c r="K62" s="10" t="n">
        <v>0.484831883859481</v>
      </c>
      <c r="L62" s="10" t="n">
        <v>0.114360063000753</v>
      </c>
      <c r="M62" s="10" t="n">
        <v>0.217078682462508</v>
      </c>
      <c r="N62" s="10" t="n">
        <v>0.0171197699102924</v>
      </c>
      <c r="O62" s="10" t="n">
        <v>0.022598096281586</v>
      </c>
      <c r="P62" s="0" t="n">
        <v>52</v>
      </c>
      <c r="Q62" s="0" t="n">
        <v>530</v>
      </c>
      <c r="R62" s="0" t="n">
        <v>0</v>
      </c>
      <c r="S62" s="0" t="s">
        <v>299</v>
      </c>
    </row>
    <row r="63" customFormat="false" ht="15" hidden="false" customHeight="false" outlineLevel="0" collapsed="false">
      <c r="A63" s="0" t="s">
        <v>331</v>
      </c>
      <c r="B63" s="0" t="s">
        <v>295</v>
      </c>
      <c r="C63" s="0" t="s">
        <v>300</v>
      </c>
      <c r="D63" s="0" t="n">
        <v>10</v>
      </c>
      <c r="E63" s="0" t="s">
        <v>297</v>
      </c>
      <c r="F63" s="0" t="n">
        <v>80.68</v>
      </c>
      <c r="G63" s="0" t="s">
        <v>344</v>
      </c>
      <c r="H63" s="0" t="n">
        <v>6</v>
      </c>
      <c r="I63" s="0" t="n">
        <v>8</v>
      </c>
      <c r="J63" s="10" t="n">
        <v>0.38175508180466</v>
      </c>
      <c r="K63" s="10" t="n">
        <v>0.438770451165097</v>
      </c>
      <c r="L63" s="10" t="n">
        <v>0.20699058006941</v>
      </c>
      <c r="M63" s="10" t="n">
        <v>0.392910262766485</v>
      </c>
      <c r="N63" s="10" t="n">
        <v>0.0309866137828458</v>
      </c>
      <c r="O63" s="10" t="n">
        <v>0.0409023301933565</v>
      </c>
      <c r="P63" s="0" t="n">
        <v>52</v>
      </c>
      <c r="Q63" s="0" t="n">
        <v>530</v>
      </c>
      <c r="R63" s="0" t="n">
        <v>0</v>
      </c>
      <c r="S63" s="0" t="s">
        <v>299</v>
      </c>
    </row>
    <row r="64" customFormat="false" ht="15" hidden="false" customHeight="false" outlineLevel="0" collapsed="false">
      <c r="A64" s="0" t="s">
        <v>331</v>
      </c>
      <c r="B64" s="0" t="s">
        <v>295</v>
      </c>
      <c r="C64" s="0" t="s">
        <v>301</v>
      </c>
      <c r="D64" s="0" t="n">
        <v>10</v>
      </c>
      <c r="E64" s="0" t="s">
        <v>297</v>
      </c>
      <c r="F64" s="0" t="n">
        <v>34.67</v>
      </c>
      <c r="G64" s="0" t="s">
        <v>345</v>
      </c>
      <c r="H64" s="0" t="n">
        <v>14.5</v>
      </c>
      <c r="I64" s="0" t="n">
        <v>26</v>
      </c>
      <c r="J64" s="10" t="n">
        <v>0.111047014710124</v>
      </c>
      <c r="K64" s="10" t="n">
        <v>0.255263916931064</v>
      </c>
      <c r="L64" s="10" t="n">
        <v>0.0602105566772426</v>
      </c>
      <c r="M64" s="10" t="n">
        <v>0.114291895010095</v>
      </c>
      <c r="N64" s="10" t="n">
        <v>0.00901355638880877</v>
      </c>
      <c r="O64" s="10" t="n">
        <v>0.0118978944332276</v>
      </c>
      <c r="P64" s="0" t="n">
        <v>52</v>
      </c>
      <c r="Q64" s="0" t="n">
        <v>530</v>
      </c>
      <c r="R64" s="0" t="n">
        <v>4</v>
      </c>
      <c r="S64" s="0" t="s">
        <v>332</v>
      </c>
    </row>
    <row r="65" customFormat="false" ht="15" hidden="false" customHeight="false" outlineLevel="0" collapsed="false">
      <c r="A65" s="0" t="s">
        <v>331</v>
      </c>
      <c r="B65" s="0" t="s">
        <v>295</v>
      </c>
      <c r="C65" s="0" t="s">
        <v>296</v>
      </c>
      <c r="D65" s="0" t="n">
        <v>16</v>
      </c>
      <c r="E65" s="0" t="s">
        <v>297</v>
      </c>
      <c r="F65" s="0" t="n">
        <v>229.55</v>
      </c>
      <c r="G65" s="0" t="s">
        <v>346</v>
      </c>
      <c r="H65" s="0" t="n">
        <v>3</v>
      </c>
      <c r="I65" s="0" t="n">
        <v>5</v>
      </c>
      <c r="J65" s="10" t="n">
        <v>0.214680897407972</v>
      </c>
      <c r="K65" s="10" t="n">
        <v>0.493487257678066</v>
      </c>
      <c r="L65" s="10" t="n">
        <v>0.116401655412764</v>
      </c>
      <c r="M65" s="10" t="n">
        <v>0.220954040514049</v>
      </c>
      <c r="N65" s="10" t="n">
        <v>0.0174253975168809</v>
      </c>
      <c r="O65" s="10" t="n">
        <v>0.0230015247222827</v>
      </c>
      <c r="P65" s="0" t="n">
        <v>83</v>
      </c>
      <c r="Q65" s="0" t="n">
        <v>848</v>
      </c>
      <c r="R65" s="0" t="n">
        <v>0</v>
      </c>
      <c r="S65" s="0" t="s">
        <v>299</v>
      </c>
    </row>
    <row r="66" customFormat="false" ht="15" hidden="false" customHeight="false" outlineLevel="0" collapsed="false">
      <c r="A66" s="0" t="s">
        <v>331</v>
      </c>
      <c r="B66" s="0" t="s">
        <v>295</v>
      </c>
      <c r="C66" s="0" t="s">
        <v>300</v>
      </c>
      <c r="D66" s="0" t="n">
        <v>16</v>
      </c>
      <c r="E66" s="0" t="s">
        <v>297</v>
      </c>
      <c r="F66" s="0" t="n">
        <v>122.44</v>
      </c>
      <c r="G66" s="0" t="s">
        <v>347</v>
      </c>
      <c r="H66" s="0" t="n">
        <v>6</v>
      </c>
      <c r="I66" s="0" t="n">
        <v>8</v>
      </c>
      <c r="J66" s="10" t="n">
        <v>0.402482848742241</v>
      </c>
      <c r="K66" s="10" t="n">
        <v>0.462593923554394</v>
      </c>
      <c r="L66" s="10" t="n">
        <v>0.218229336818033</v>
      </c>
      <c r="M66" s="10" t="n">
        <v>0.414243711205489</v>
      </c>
      <c r="N66" s="10" t="n">
        <v>0.0326690623979092</v>
      </c>
      <c r="O66" s="10" t="n">
        <v>0.0431231623652401</v>
      </c>
      <c r="P66" s="0" t="n">
        <v>83</v>
      </c>
      <c r="Q66" s="0" t="n">
        <v>848</v>
      </c>
      <c r="R66" s="0" t="n">
        <v>0</v>
      </c>
      <c r="S66" s="0" t="s">
        <v>299</v>
      </c>
    </row>
    <row r="67" customFormat="false" ht="15" hidden="false" customHeight="false" outlineLevel="0" collapsed="false">
      <c r="A67" s="0" t="s">
        <v>331</v>
      </c>
      <c r="B67" s="0" t="s">
        <v>295</v>
      </c>
      <c r="C67" s="0" t="s">
        <v>301</v>
      </c>
      <c r="D67" s="0" t="n">
        <v>16</v>
      </c>
      <c r="E67" s="0" t="s">
        <v>297</v>
      </c>
      <c r="F67" s="0" t="n">
        <v>48.59</v>
      </c>
      <c r="G67" s="0" t="s">
        <v>348</v>
      </c>
      <c r="H67" s="0" t="n">
        <v>18.5</v>
      </c>
      <c r="I67" s="0" t="n">
        <v>26.5</v>
      </c>
      <c r="J67" s="10" t="n">
        <v>0.126775056596007</v>
      </c>
      <c r="K67" s="10" t="n">
        <v>0.291417987240173</v>
      </c>
      <c r="L67" s="10" t="n">
        <v>0.0687384235439391</v>
      </c>
      <c r="M67" s="10" t="n">
        <v>0.130479522535501</v>
      </c>
      <c r="N67" s="10" t="n">
        <v>0.0102901831652603</v>
      </c>
      <c r="O67" s="10" t="n">
        <v>0.0135830417781437</v>
      </c>
      <c r="P67" s="0" t="n">
        <v>83</v>
      </c>
      <c r="Q67" s="0" t="n">
        <v>848</v>
      </c>
      <c r="R67" s="0" t="n">
        <v>4</v>
      </c>
      <c r="S67" s="0" t="s">
        <v>332</v>
      </c>
    </row>
    <row r="68" customFormat="false" ht="15" hidden="false" customHeight="false" outlineLevel="0" collapsed="false">
      <c r="A68" s="0" t="s">
        <v>331</v>
      </c>
      <c r="B68" s="0" t="s">
        <v>320</v>
      </c>
      <c r="C68" s="0" t="s">
        <v>296</v>
      </c>
      <c r="D68" s="0" t="n">
        <v>1</v>
      </c>
      <c r="E68" s="0" t="s">
        <v>297</v>
      </c>
      <c r="F68" s="0" t="n">
        <v>20.75</v>
      </c>
      <c r="G68" s="0" t="s">
        <v>298</v>
      </c>
      <c r="H68" s="0" t="n">
        <v>2</v>
      </c>
      <c r="I68" s="0" t="n">
        <v>3</v>
      </c>
      <c r="J68" s="10" t="n">
        <v>0.148433734939759</v>
      </c>
      <c r="K68" s="10" t="n">
        <v>0.341204819277108</v>
      </c>
      <c r="L68" s="10" t="n">
        <v>0.0804819277108434</v>
      </c>
      <c r="M68" s="10" t="n">
        <v>0.152771084337349</v>
      </c>
      <c r="N68" s="10" t="n">
        <v>0.0120481927710843</v>
      </c>
      <c r="O68" s="10" t="n">
        <v>0.0159036144578313</v>
      </c>
      <c r="P68" s="0" t="n">
        <v>6</v>
      </c>
      <c r="Q68" s="0" t="n">
        <v>53</v>
      </c>
      <c r="R68" s="0" t="n">
        <v>0</v>
      </c>
      <c r="S68" s="0" t="s">
        <v>299</v>
      </c>
      <c r="T68" s="0" t="s">
        <v>296</v>
      </c>
    </row>
    <row r="69" customFormat="false" ht="15" hidden="false" customHeight="false" outlineLevel="0" collapsed="false">
      <c r="A69" s="0" t="s">
        <v>331</v>
      </c>
      <c r="B69" s="0" t="s">
        <v>320</v>
      </c>
      <c r="C69" s="0" t="s">
        <v>300</v>
      </c>
      <c r="D69" s="0" t="n">
        <v>1</v>
      </c>
      <c r="E69" s="0" t="s">
        <v>297</v>
      </c>
      <c r="F69" s="0" t="n">
        <v>20.75</v>
      </c>
      <c r="G69" s="0" t="s">
        <v>298</v>
      </c>
      <c r="H69" s="0" t="n">
        <v>2</v>
      </c>
      <c r="I69" s="0" t="n">
        <v>3</v>
      </c>
      <c r="J69" s="10" t="n">
        <v>0.148433734939759</v>
      </c>
      <c r="K69" s="10" t="n">
        <v>0.341204819277108</v>
      </c>
      <c r="L69" s="10" t="n">
        <v>0.0804819277108434</v>
      </c>
      <c r="M69" s="10" t="n">
        <v>0.152771084337349</v>
      </c>
      <c r="N69" s="10" t="n">
        <v>0.0120481927710843</v>
      </c>
      <c r="O69" s="10" t="n">
        <v>0.0159036144578313</v>
      </c>
      <c r="P69" s="0" t="n">
        <v>6</v>
      </c>
      <c r="Q69" s="0" t="n">
        <v>53</v>
      </c>
      <c r="R69" s="0" t="n">
        <v>0</v>
      </c>
      <c r="S69" s="0" t="s">
        <v>299</v>
      </c>
      <c r="T69" s="0" t="s">
        <v>296</v>
      </c>
    </row>
    <row r="70" customFormat="false" ht="15" hidden="false" customHeight="false" outlineLevel="0" collapsed="false">
      <c r="A70" s="0" t="s">
        <v>331</v>
      </c>
      <c r="B70" s="0" t="s">
        <v>320</v>
      </c>
      <c r="C70" s="0" t="s">
        <v>301</v>
      </c>
      <c r="D70" s="0" t="n">
        <v>1</v>
      </c>
      <c r="E70" s="0" t="s">
        <v>297</v>
      </c>
      <c r="F70" s="0" t="n">
        <v>20.75</v>
      </c>
      <c r="G70" s="0" t="s">
        <v>298</v>
      </c>
      <c r="H70" s="0" t="n">
        <v>2</v>
      </c>
      <c r="I70" s="0" t="n">
        <v>3</v>
      </c>
      <c r="J70" s="10" t="n">
        <v>0.148433734939759</v>
      </c>
      <c r="K70" s="10" t="n">
        <v>0.341204819277108</v>
      </c>
      <c r="L70" s="10" t="n">
        <v>0.0804819277108434</v>
      </c>
      <c r="M70" s="10" t="n">
        <v>0.152771084337349</v>
      </c>
      <c r="N70" s="10" t="n">
        <v>0.0120481927710843</v>
      </c>
      <c r="O70" s="10" t="n">
        <v>0.0159036144578313</v>
      </c>
      <c r="P70" s="0" t="n">
        <v>6</v>
      </c>
      <c r="Q70" s="0" t="n">
        <v>53</v>
      </c>
      <c r="R70" s="0" t="n">
        <v>7</v>
      </c>
      <c r="S70" s="0" t="s">
        <v>299</v>
      </c>
      <c r="T70" s="0" t="s">
        <v>296</v>
      </c>
    </row>
    <row r="71" customFormat="false" ht="15" hidden="false" customHeight="false" outlineLevel="0" collapsed="false">
      <c r="A71" s="0" t="s">
        <v>331</v>
      </c>
      <c r="B71" s="0" t="s">
        <v>320</v>
      </c>
      <c r="C71" s="0" t="s">
        <v>296</v>
      </c>
      <c r="D71" s="0" t="n">
        <v>2</v>
      </c>
      <c r="E71" s="0" t="s">
        <v>297</v>
      </c>
      <c r="F71" s="0" t="n">
        <v>20.75</v>
      </c>
      <c r="G71" s="0" t="s">
        <v>304</v>
      </c>
      <c r="H71" s="0" t="n">
        <v>4</v>
      </c>
      <c r="I71" s="0" t="n">
        <v>5</v>
      </c>
      <c r="J71" s="10" t="n">
        <v>0.148433734939759</v>
      </c>
      <c r="K71" s="10" t="n">
        <v>0.341204819277108</v>
      </c>
      <c r="L71" s="10" t="n">
        <v>0.0804819277108434</v>
      </c>
      <c r="M71" s="10" t="n">
        <v>0.152771084337349</v>
      </c>
      <c r="N71" s="10" t="n">
        <v>0.0120481927710843</v>
      </c>
      <c r="O71" s="10" t="n">
        <v>0.0159036144578313</v>
      </c>
      <c r="P71" s="0" t="n">
        <v>11</v>
      </c>
      <c r="Q71" s="0" t="n">
        <v>106</v>
      </c>
      <c r="R71" s="0" t="n">
        <v>0</v>
      </c>
      <c r="S71" s="0" t="s">
        <v>299</v>
      </c>
      <c r="T71" s="0" t="s">
        <v>321</v>
      </c>
    </row>
    <row r="72" customFormat="false" ht="15" hidden="false" customHeight="false" outlineLevel="0" collapsed="false">
      <c r="A72" s="0" t="s">
        <v>331</v>
      </c>
      <c r="B72" s="0" t="s">
        <v>320</v>
      </c>
      <c r="C72" s="0" t="s">
        <v>300</v>
      </c>
      <c r="D72" s="0" t="n">
        <v>2</v>
      </c>
      <c r="E72" s="0" t="s">
        <v>297</v>
      </c>
      <c r="F72" s="0" t="n">
        <v>20.75</v>
      </c>
      <c r="G72" s="0" t="s">
        <v>304</v>
      </c>
      <c r="H72" s="0" t="n">
        <v>4</v>
      </c>
      <c r="I72" s="0" t="n">
        <v>5</v>
      </c>
      <c r="J72" s="10" t="n">
        <v>0.148433734939759</v>
      </c>
      <c r="K72" s="10" t="n">
        <v>0.341204819277108</v>
      </c>
      <c r="L72" s="10" t="n">
        <v>0.0804819277108434</v>
      </c>
      <c r="M72" s="10" t="n">
        <v>0.152771084337349</v>
      </c>
      <c r="N72" s="10" t="n">
        <v>0.0120481927710843</v>
      </c>
      <c r="O72" s="10" t="n">
        <v>0.0159036144578313</v>
      </c>
      <c r="P72" s="0" t="n">
        <v>11</v>
      </c>
      <c r="Q72" s="0" t="n">
        <v>106</v>
      </c>
      <c r="R72" s="0" t="n">
        <v>0</v>
      </c>
      <c r="S72" s="0" t="s">
        <v>299</v>
      </c>
      <c r="T72" s="0" t="s">
        <v>321</v>
      </c>
    </row>
    <row r="73" customFormat="false" ht="15" hidden="false" customHeight="false" outlineLevel="0" collapsed="false">
      <c r="A73" s="0" t="s">
        <v>331</v>
      </c>
      <c r="B73" s="0" t="s">
        <v>320</v>
      </c>
      <c r="C73" s="0" t="s">
        <v>301</v>
      </c>
      <c r="D73" s="0" t="n">
        <v>2</v>
      </c>
      <c r="E73" s="0" t="s">
        <v>297</v>
      </c>
      <c r="F73" s="0" t="n">
        <v>20.75</v>
      </c>
      <c r="G73" s="0" t="s">
        <v>304</v>
      </c>
      <c r="H73" s="0" t="n">
        <v>4</v>
      </c>
      <c r="I73" s="0" t="n">
        <v>6</v>
      </c>
      <c r="J73" s="10" t="n">
        <v>0.148433734939759</v>
      </c>
      <c r="K73" s="10" t="n">
        <v>0.341204819277108</v>
      </c>
      <c r="L73" s="10" t="n">
        <v>0.0804819277108434</v>
      </c>
      <c r="M73" s="10" t="n">
        <v>0.152771084337349</v>
      </c>
      <c r="N73" s="10" t="n">
        <v>0.0120481927710843</v>
      </c>
      <c r="O73" s="10" t="n">
        <v>0.0159036144578313</v>
      </c>
      <c r="P73" s="0" t="n">
        <v>11</v>
      </c>
      <c r="Q73" s="0" t="n">
        <v>106</v>
      </c>
      <c r="R73" s="0" t="n">
        <v>7</v>
      </c>
      <c r="S73" s="0" t="s">
        <v>299</v>
      </c>
      <c r="T73" s="0" t="s">
        <v>321</v>
      </c>
    </row>
    <row r="74" customFormat="false" ht="15" hidden="false" customHeight="false" outlineLevel="0" collapsed="false">
      <c r="A74" s="0" t="s">
        <v>331</v>
      </c>
      <c r="B74" s="0" t="s">
        <v>320</v>
      </c>
      <c r="C74" s="0" t="s">
        <v>296</v>
      </c>
      <c r="D74" s="0" t="n">
        <v>3</v>
      </c>
      <c r="E74" s="0" t="s">
        <v>297</v>
      </c>
      <c r="F74" s="0" t="n">
        <v>20.75</v>
      </c>
      <c r="G74" s="0" t="s">
        <v>307</v>
      </c>
      <c r="H74" s="0" t="n">
        <v>6</v>
      </c>
      <c r="I74" s="0" t="n">
        <v>7</v>
      </c>
      <c r="J74" s="10" t="n">
        <v>0.148433734939759</v>
      </c>
      <c r="K74" s="10" t="n">
        <v>0.341204819277108</v>
      </c>
      <c r="L74" s="10" t="n">
        <v>0.0804819277108434</v>
      </c>
      <c r="M74" s="10" t="n">
        <v>0.152771084337349</v>
      </c>
      <c r="N74" s="10" t="n">
        <v>0.0120481927710843</v>
      </c>
      <c r="O74" s="10" t="n">
        <v>0.0159036144578313</v>
      </c>
      <c r="P74" s="0" t="n">
        <v>16</v>
      </c>
      <c r="Q74" s="0" t="n">
        <v>159</v>
      </c>
      <c r="R74" s="0" t="n">
        <v>0</v>
      </c>
      <c r="S74" s="0" t="s">
        <v>299</v>
      </c>
      <c r="T74" s="0" t="s">
        <v>322</v>
      </c>
    </row>
    <row r="75" customFormat="false" ht="15" hidden="false" customHeight="false" outlineLevel="0" collapsed="false">
      <c r="A75" s="0" t="s">
        <v>331</v>
      </c>
      <c r="B75" s="0" t="s">
        <v>320</v>
      </c>
      <c r="C75" s="0" t="s">
        <v>300</v>
      </c>
      <c r="D75" s="0" t="n">
        <v>3</v>
      </c>
      <c r="E75" s="0" t="s">
        <v>297</v>
      </c>
      <c r="F75" s="0" t="n">
        <v>20.75</v>
      </c>
      <c r="G75" s="0" t="s">
        <v>307</v>
      </c>
      <c r="H75" s="0" t="n">
        <v>6</v>
      </c>
      <c r="I75" s="0" t="n">
        <v>7</v>
      </c>
      <c r="J75" s="10" t="n">
        <v>0.148433734939759</v>
      </c>
      <c r="K75" s="10" t="n">
        <v>0.341204819277108</v>
      </c>
      <c r="L75" s="10" t="n">
        <v>0.0804819277108434</v>
      </c>
      <c r="M75" s="10" t="n">
        <v>0.152771084337349</v>
      </c>
      <c r="N75" s="10" t="n">
        <v>0.0120481927710843</v>
      </c>
      <c r="O75" s="10" t="n">
        <v>0.0159036144578313</v>
      </c>
      <c r="P75" s="0" t="n">
        <v>16</v>
      </c>
      <c r="Q75" s="0" t="n">
        <v>159</v>
      </c>
      <c r="R75" s="0" t="n">
        <v>0</v>
      </c>
      <c r="S75" s="0" t="s">
        <v>299</v>
      </c>
      <c r="T75" s="0" t="s">
        <v>322</v>
      </c>
    </row>
    <row r="76" customFormat="false" ht="15" hidden="false" customHeight="false" outlineLevel="0" collapsed="false">
      <c r="A76" s="0" t="s">
        <v>331</v>
      </c>
      <c r="B76" s="0" t="s">
        <v>320</v>
      </c>
      <c r="C76" s="0" t="s">
        <v>301</v>
      </c>
      <c r="D76" s="0" t="n">
        <v>3</v>
      </c>
      <c r="E76" s="0" t="s">
        <v>297</v>
      </c>
      <c r="F76" s="0" t="n">
        <v>20.75</v>
      </c>
      <c r="G76" s="0" t="s">
        <v>307</v>
      </c>
      <c r="H76" s="0" t="n">
        <v>6</v>
      </c>
      <c r="I76" s="0" t="n">
        <v>9</v>
      </c>
      <c r="J76" s="10" t="n">
        <v>0.148433734939759</v>
      </c>
      <c r="K76" s="10" t="n">
        <v>0.341204819277108</v>
      </c>
      <c r="L76" s="10" t="n">
        <v>0.0804819277108434</v>
      </c>
      <c r="M76" s="10" t="n">
        <v>0.152771084337349</v>
      </c>
      <c r="N76" s="10" t="n">
        <v>0.0120481927710843</v>
      </c>
      <c r="O76" s="10" t="n">
        <v>0.0159036144578313</v>
      </c>
      <c r="P76" s="0" t="n">
        <v>16</v>
      </c>
      <c r="Q76" s="0" t="n">
        <v>159</v>
      </c>
      <c r="R76" s="0" t="n">
        <v>7</v>
      </c>
      <c r="S76" s="0" t="s">
        <v>299</v>
      </c>
      <c r="T76" s="0" t="s">
        <v>322</v>
      </c>
    </row>
    <row r="77" customFormat="false" ht="15" hidden="false" customHeight="false" outlineLevel="0" collapsed="false">
      <c r="A77" s="0" t="s">
        <v>331</v>
      </c>
      <c r="B77" s="0" t="s">
        <v>320</v>
      </c>
      <c r="C77" s="0" t="s">
        <v>296</v>
      </c>
      <c r="D77" s="0" t="n">
        <v>5</v>
      </c>
      <c r="E77" s="0" t="s">
        <v>297</v>
      </c>
      <c r="F77" s="0" t="n">
        <v>20.75</v>
      </c>
      <c r="G77" s="0" t="s">
        <v>323</v>
      </c>
      <c r="H77" s="0" t="n">
        <v>10</v>
      </c>
      <c r="I77" s="0" t="n">
        <v>11</v>
      </c>
      <c r="J77" s="10" t="n">
        <v>0.148433734939759</v>
      </c>
      <c r="K77" s="10" t="n">
        <v>0.341204819277108</v>
      </c>
      <c r="L77" s="10" t="n">
        <v>0.0804819277108434</v>
      </c>
      <c r="M77" s="10" t="n">
        <v>0.152771084337349</v>
      </c>
      <c r="N77" s="10" t="n">
        <v>0.0120481927710843</v>
      </c>
      <c r="O77" s="10" t="n">
        <v>0.0159036144578313</v>
      </c>
      <c r="P77" s="0" t="n">
        <v>26</v>
      </c>
      <c r="Q77" s="0" t="n">
        <v>265</v>
      </c>
      <c r="R77" s="0" t="n">
        <v>0</v>
      </c>
      <c r="S77" s="0" t="s">
        <v>299</v>
      </c>
      <c r="T77" s="0" t="s">
        <v>324</v>
      </c>
    </row>
    <row r="78" customFormat="false" ht="15" hidden="false" customHeight="false" outlineLevel="0" collapsed="false">
      <c r="A78" s="0" t="s">
        <v>331</v>
      </c>
      <c r="B78" s="0" t="s">
        <v>320</v>
      </c>
      <c r="C78" s="0" t="s">
        <v>300</v>
      </c>
      <c r="D78" s="0" t="n">
        <v>5</v>
      </c>
      <c r="E78" s="0" t="s">
        <v>297</v>
      </c>
      <c r="F78" s="0" t="n">
        <v>20.75</v>
      </c>
      <c r="G78" s="0" t="s">
        <v>323</v>
      </c>
      <c r="H78" s="0" t="n">
        <v>10</v>
      </c>
      <c r="I78" s="0" t="n">
        <v>11</v>
      </c>
      <c r="J78" s="10" t="n">
        <v>0.148433734939759</v>
      </c>
      <c r="K78" s="10" t="n">
        <v>0.341204819277108</v>
      </c>
      <c r="L78" s="10" t="n">
        <v>0.0804819277108434</v>
      </c>
      <c r="M78" s="10" t="n">
        <v>0.152771084337349</v>
      </c>
      <c r="N78" s="10" t="n">
        <v>0.0120481927710843</v>
      </c>
      <c r="O78" s="10" t="n">
        <v>0.0159036144578313</v>
      </c>
      <c r="P78" s="0" t="n">
        <v>26</v>
      </c>
      <c r="Q78" s="0" t="n">
        <v>265</v>
      </c>
      <c r="R78" s="0" t="n">
        <v>0</v>
      </c>
      <c r="S78" s="0" t="s">
        <v>299</v>
      </c>
      <c r="T78" s="0" t="s">
        <v>324</v>
      </c>
    </row>
    <row r="79" customFormat="false" ht="15" hidden="false" customHeight="false" outlineLevel="0" collapsed="false">
      <c r="A79" s="0" t="s">
        <v>331</v>
      </c>
      <c r="B79" s="0" t="s">
        <v>320</v>
      </c>
      <c r="C79" s="0" t="s">
        <v>301</v>
      </c>
      <c r="D79" s="0" t="n">
        <v>5</v>
      </c>
      <c r="E79" s="0" t="s">
        <v>297</v>
      </c>
      <c r="F79" s="0" t="n">
        <v>20.75</v>
      </c>
      <c r="G79" s="0" t="s">
        <v>323</v>
      </c>
      <c r="H79" s="0" t="n">
        <v>10</v>
      </c>
      <c r="I79" s="0" t="n">
        <v>15</v>
      </c>
      <c r="J79" s="10" t="n">
        <v>0.148433734939759</v>
      </c>
      <c r="K79" s="10" t="n">
        <v>0.341204819277108</v>
      </c>
      <c r="L79" s="10" t="n">
        <v>0.0804819277108434</v>
      </c>
      <c r="M79" s="10" t="n">
        <v>0.152771084337349</v>
      </c>
      <c r="N79" s="10" t="n">
        <v>0.0120481927710843</v>
      </c>
      <c r="O79" s="10" t="n">
        <v>0.0159036144578313</v>
      </c>
      <c r="P79" s="0" t="n">
        <v>26</v>
      </c>
      <c r="Q79" s="0" t="n">
        <v>265</v>
      </c>
      <c r="R79" s="0" t="n">
        <v>7</v>
      </c>
      <c r="S79" s="0" t="s">
        <v>299</v>
      </c>
      <c r="T79" s="0" t="s">
        <v>324</v>
      </c>
    </row>
    <row r="80" customFormat="false" ht="15" hidden="false" customHeight="false" outlineLevel="0" collapsed="false">
      <c r="A80" s="0" t="s">
        <v>331</v>
      </c>
      <c r="B80" s="0" t="s">
        <v>320</v>
      </c>
      <c r="C80" s="0" t="s">
        <v>296</v>
      </c>
      <c r="D80" s="0" t="n">
        <v>8</v>
      </c>
      <c r="E80" s="0" t="s">
        <v>297</v>
      </c>
      <c r="F80" s="0" t="n">
        <v>20.75</v>
      </c>
      <c r="G80" s="0" t="s">
        <v>325</v>
      </c>
      <c r="H80" s="0" t="n">
        <v>16</v>
      </c>
      <c r="I80" s="0" t="n">
        <v>17</v>
      </c>
      <c r="J80" s="10" t="n">
        <v>0.148433734939759</v>
      </c>
      <c r="K80" s="10" t="n">
        <v>0.341204819277108</v>
      </c>
      <c r="L80" s="10" t="n">
        <v>0.0804819277108434</v>
      </c>
      <c r="M80" s="10" t="n">
        <v>0.152771084337349</v>
      </c>
      <c r="N80" s="10" t="n">
        <v>0.0120481927710843</v>
      </c>
      <c r="O80" s="10" t="n">
        <v>0.0159036144578313</v>
      </c>
      <c r="P80" s="0" t="n">
        <v>42</v>
      </c>
      <c r="Q80" s="0" t="n">
        <v>424</v>
      </c>
      <c r="R80" s="0" t="n">
        <v>0</v>
      </c>
      <c r="S80" s="0" t="s">
        <v>299</v>
      </c>
      <c r="T80" s="0" t="s">
        <v>326</v>
      </c>
    </row>
    <row r="81" customFormat="false" ht="15" hidden="false" customHeight="false" outlineLevel="0" collapsed="false">
      <c r="A81" s="0" t="s">
        <v>331</v>
      </c>
      <c r="B81" s="0" t="s">
        <v>320</v>
      </c>
      <c r="C81" s="0" t="s">
        <v>300</v>
      </c>
      <c r="D81" s="0" t="n">
        <v>8</v>
      </c>
      <c r="E81" s="0" t="s">
        <v>297</v>
      </c>
      <c r="F81" s="0" t="n">
        <v>20.75</v>
      </c>
      <c r="G81" s="0" t="s">
        <v>325</v>
      </c>
      <c r="H81" s="0" t="n">
        <v>16</v>
      </c>
      <c r="I81" s="0" t="n">
        <v>17</v>
      </c>
      <c r="J81" s="10" t="n">
        <v>0.148433734939759</v>
      </c>
      <c r="K81" s="10" t="n">
        <v>0.341204819277108</v>
      </c>
      <c r="L81" s="10" t="n">
        <v>0.0804819277108434</v>
      </c>
      <c r="M81" s="10" t="n">
        <v>0.152771084337349</v>
      </c>
      <c r="N81" s="10" t="n">
        <v>0.0120481927710843</v>
      </c>
      <c r="O81" s="10" t="n">
        <v>0.0159036144578313</v>
      </c>
      <c r="P81" s="0" t="n">
        <v>42</v>
      </c>
      <c r="Q81" s="0" t="n">
        <v>424</v>
      </c>
      <c r="R81" s="0" t="n">
        <v>0</v>
      </c>
      <c r="S81" s="0" t="s">
        <v>299</v>
      </c>
      <c r="T81" s="0" t="s">
        <v>326</v>
      </c>
    </row>
    <row r="82" customFormat="false" ht="15" hidden="false" customHeight="false" outlineLevel="0" collapsed="false">
      <c r="A82" s="0" t="s">
        <v>331</v>
      </c>
      <c r="B82" s="0" t="s">
        <v>320</v>
      </c>
      <c r="C82" s="0" t="s">
        <v>301</v>
      </c>
      <c r="D82" s="0" t="n">
        <v>8</v>
      </c>
      <c r="E82" s="0" t="s">
        <v>297</v>
      </c>
      <c r="F82" s="0" t="n">
        <v>20.75</v>
      </c>
      <c r="G82" s="0" t="s">
        <v>325</v>
      </c>
      <c r="H82" s="0" t="n">
        <v>16</v>
      </c>
      <c r="I82" s="0" t="n">
        <v>24</v>
      </c>
      <c r="J82" s="10" t="n">
        <v>0.148433734939759</v>
      </c>
      <c r="K82" s="10" t="n">
        <v>0.341204819277108</v>
      </c>
      <c r="L82" s="10" t="n">
        <v>0.0804819277108434</v>
      </c>
      <c r="M82" s="10" t="n">
        <v>0.152771084337349</v>
      </c>
      <c r="N82" s="10" t="n">
        <v>0.0120481927710843</v>
      </c>
      <c r="O82" s="10" t="n">
        <v>0.0159036144578313</v>
      </c>
      <c r="P82" s="0" t="n">
        <v>42</v>
      </c>
      <c r="Q82" s="0" t="n">
        <v>424</v>
      </c>
      <c r="R82" s="0" t="n">
        <v>7</v>
      </c>
      <c r="S82" s="0" t="s">
        <v>299</v>
      </c>
      <c r="T82" s="0" t="s">
        <v>326</v>
      </c>
    </row>
    <row r="83" customFormat="false" ht="15" hidden="false" customHeight="false" outlineLevel="0" collapsed="false">
      <c r="A83" s="0" t="s">
        <v>331</v>
      </c>
      <c r="B83" s="0" t="s">
        <v>320</v>
      </c>
      <c r="C83" s="0" t="s">
        <v>296</v>
      </c>
      <c r="D83" s="0" t="n">
        <v>10</v>
      </c>
      <c r="E83" s="0" t="s">
        <v>297</v>
      </c>
      <c r="F83" s="0" t="n">
        <v>20.75</v>
      </c>
      <c r="G83" s="0" t="s">
        <v>327</v>
      </c>
      <c r="H83" s="0" t="n">
        <v>20</v>
      </c>
      <c r="I83" s="0" t="n">
        <v>21</v>
      </c>
      <c r="J83" s="10" t="n">
        <v>0.148433734939759</v>
      </c>
      <c r="K83" s="10" t="n">
        <v>0.341204819277108</v>
      </c>
      <c r="L83" s="10" t="n">
        <v>0.0804819277108434</v>
      </c>
      <c r="M83" s="10" t="n">
        <v>0.152771084337349</v>
      </c>
      <c r="N83" s="10" t="n">
        <v>0.0120481927710843</v>
      </c>
      <c r="O83" s="10" t="n">
        <v>0.0159036144578313</v>
      </c>
      <c r="P83" s="0" t="n">
        <v>52</v>
      </c>
      <c r="Q83" s="0" t="n">
        <v>530</v>
      </c>
      <c r="R83" s="0" t="n">
        <v>0</v>
      </c>
      <c r="S83" s="0" t="s">
        <v>299</v>
      </c>
      <c r="T83" s="0" t="s">
        <v>328</v>
      </c>
    </row>
    <row r="84" customFormat="false" ht="15" hidden="false" customHeight="false" outlineLevel="0" collapsed="false">
      <c r="A84" s="0" t="s">
        <v>331</v>
      </c>
      <c r="B84" s="0" t="s">
        <v>320</v>
      </c>
      <c r="C84" s="0" t="s">
        <v>300</v>
      </c>
      <c r="D84" s="0" t="n">
        <v>10</v>
      </c>
      <c r="E84" s="0" t="s">
        <v>297</v>
      </c>
      <c r="F84" s="0" t="n">
        <v>20.75</v>
      </c>
      <c r="G84" s="0" t="s">
        <v>327</v>
      </c>
      <c r="H84" s="0" t="n">
        <v>20</v>
      </c>
      <c r="I84" s="0" t="n">
        <v>21</v>
      </c>
      <c r="J84" s="10" t="n">
        <v>0.148433734939759</v>
      </c>
      <c r="K84" s="10" t="n">
        <v>0.341204819277108</v>
      </c>
      <c r="L84" s="10" t="n">
        <v>0.0804819277108434</v>
      </c>
      <c r="M84" s="10" t="n">
        <v>0.152771084337349</v>
      </c>
      <c r="N84" s="10" t="n">
        <v>0.0120481927710843</v>
      </c>
      <c r="O84" s="10" t="n">
        <v>0.0159036144578313</v>
      </c>
      <c r="P84" s="0" t="n">
        <v>52</v>
      </c>
      <c r="Q84" s="0" t="n">
        <v>530</v>
      </c>
      <c r="R84" s="0" t="n">
        <v>0</v>
      </c>
      <c r="S84" s="0" t="s">
        <v>299</v>
      </c>
      <c r="T84" s="0" t="s">
        <v>328</v>
      </c>
    </row>
    <row r="85" customFormat="false" ht="15" hidden="false" customHeight="false" outlineLevel="0" collapsed="false">
      <c r="A85" s="0" t="s">
        <v>331</v>
      </c>
      <c r="B85" s="0" t="s">
        <v>320</v>
      </c>
      <c r="C85" s="0" t="s">
        <v>301</v>
      </c>
      <c r="D85" s="0" t="n">
        <v>10</v>
      </c>
      <c r="E85" s="0" t="s">
        <v>297</v>
      </c>
      <c r="F85" s="0" t="n">
        <v>20.75</v>
      </c>
      <c r="G85" s="0" t="s">
        <v>327</v>
      </c>
      <c r="H85" s="0" t="n">
        <v>20</v>
      </c>
      <c r="I85" s="0" t="n">
        <v>28</v>
      </c>
      <c r="J85" s="10" t="n">
        <v>0.148433734939759</v>
      </c>
      <c r="K85" s="10" t="n">
        <v>0.341204819277108</v>
      </c>
      <c r="L85" s="10" t="n">
        <v>0.0804819277108434</v>
      </c>
      <c r="M85" s="10" t="n">
        <v>0.152771084337349</v>
      </c>
      <c r="N85" s="10" t="n">
        <v>0.0120481927710843</v>
      </c>
      <c r="O85" s="10" t="n">
        <v>0.0159036144578313</v>
      </c>
      <c r="P85" s="0" t="n">
        <v>52</v>
      </c>
      <c r="Q85" s="0" t="n">
        <v>530</v>
      </c>
      <c r="R85" s="0" t="n">
        <v>7</v>
      </c>
      <c r="S85" s="0" t="s">
        <v>299</v>
      </c>
      <c r="T85" s="0" t="s">
        <v>328</v>
      </c>
    </row>
    <row r="86" customFormat="false" ht="15" hidden="false" customHeight="false" outlineLevel="0" collapsed="false">
      <c r="A86" s="0" t="s">
        <v>331</v>
      </c>
      <c r="B86" s="0" t="s">
        <v>320</v>
      </c>
      <c r="C86" s="0" t="s">
        <v>296</v>
      </c>
      <c r="D86" s="0" t="n">
        <v>16</v>
      </c>
      <c r="E86" s="0" t="s">
        <v>297</v>
      </c>
      <c r="F86" s="0" t="n">
        <v>20.75</v>
      </c>
      <c r="G86" s="0" t="s">
        <v>329</v>
      </c>
      <c r="H86" s="0" t="n">
        <v>32</v>
      </c>
      <c r="I86" s="0" t="n">
        <v>33</v>
      </c>
      <c r="J86" s="10" t="n">
        <v>0.148433734939759</v>
      </c>
      <c r="K86" s="10" t="n">
        <v>0.341204819277108</v>
      </c>
      <c r="L86" s="10" t="n">
        <v>0.0804819277108434</v>
      </c>
      <c r="M86" s="10" t="n">
        <v>0.152771084337349</v>
      </c>
      <c r="N86" s="10" t="n">
        <v>0.0120481927710843</v>
      </c>
      <c r="O86" s="10" t="n">
        <v>0.0159036144578313</v>
      </c>
      <c r="P86" s="0" t="n">
        <v>83</v>
      </c>
      <c r="Q86" s="0" t="n">
        <v>848</v>
      </c>
      <c r="R86" s="0" t="n">
        <v>0</v>
      </c>
      <c r="S86" s="0" t="s">
        <v>299</v>
      </c>
      <c r="T86" s="0" t="s">
        <v>330</v>
      </c>
    </row>
    <row r="87" customFormat="false" ht="15" hidden="false" customHeight="false" outlineLevel="0" collapsed="false">
      <c r="A87" s="0" t="s">
        <v>331</v>
      </c>
      <c r="B87" s="0" t="s">
        <v>320</v>
      </c>
      <c r="C87" s="0" t="s">
        <v>300</v>
      </c>
      <c r="D87" s="0" t="n">
        <v>16</v>
      </c>
      <c r="E87" s="0" t="s">
        <v>297</v>
      </c>
      <c r="F87" s="0" t="n">
        <v>20.75</v>
      </c>
      <c r="G87" s="0" t="s">
        <v>329</v>
      </c>
      <c r="H87" s="0" t="n">
        <v>32</v>
      </c>
      <c r="I87" s="0" t="n">
        <v>33</v>
      </c>
      <c r="J87" s="10" t="n">
        <v>0.148433734939759</v>
      </c>
      <c r="K87" s="10" t="n">
        <v>0.341204819277108</v>
      </c>
      <c r="L87" s="10" t="n">
        <v>0.0804819277108434</v>
      </c>
      <c r="M87" s="10" t="n">
        <v>0.152771084337349</v>
      </c>
      <c r="N87" s="10" t="n">
        <v>0.0120481927710843</v>
      </c>
      <c r="O87" s="10" t="n">
        <v>0.0159036144578313</v>
      </c>
      <c r="P87" s="0" t="n">
        <v>83</v>
      </c>
      <c r="Q87" s="0" t="n">
        <v>848</v>
      </c>
      <c r="R87" s="0" t="n">
        <v>0</v>
      </c>
      <c r="S87" s="0" t="s">
        <v>299</v>
      </c>
      <c r="T87" s="0" t="s">
        <v>330</v>
      </c>
    </row>
    <row r="88" customFormat="false" ht="15" hidden="false" customHeight="false" outlineLevel="0" collapsed="false">
      <c r="A88" s="0" t="s">
        <v>331</v>
      </c>
      <c r="B88" s="0" t="s">
        <v>320</v>
      </c>
      <c r="C88" s="0" t="s">
        <v>301</v>
      </c>
      <c r="D88" s="0" t="n">
        <v>16</v>
      </c>
      <c r="E88" s="0" t="s">
        <v>297</v>
      </c>
      <c r="F88" s="0" t="n">
        <v>20.75</v>
      </c>
      <c r="G88" s="0" t="s">
        <v>329</v>
      </c>
      <c r="H88" s="0" t="n">
        <v>32</v>
      </c>
      <c r="I88" s="0" t="n">
        <v>40</v>
      </c>
      <c r="J88" s="10" t="n">
        <v>0.148433734939759</v>
      </c>
      <c r="K88" s="10" t="n">
        <v>0.341204819277108</v>
      </c>
      <c r="L88" s="10" t="n">
        <v>0.0804819277108434</v>
      </c>
      <c r="M88" s="10" t="n">
        <v>0.152771084337349</v>
      </c>
      <c r="N88" s="10" t="n">
        <v>0.0120481927710843</v>
      </c>
      <c r="O88" s="10" t="n">
        <v>0.0159036144578313</v>
      </c>
      <c r="P88" s="0" t="n">
        <v>83</v>
      </c>
      <c r="Q88" s="0" t="n">
        <v>848</v>
      </c>
      <c r="R88" s="0" t="n">
        <v>7</v>
      </c>
      <c r="S88" s="0" t="s">
        <v>299</v>
      </c>
      <c r="T88" s="0" t="s">
        <v>330</v>
      </c>
    </row>
    <row r="90" customFormat="false" ht="15" hidden="false" customHeight="false" outlineLevel="0" collapsed="false">
      <c r="A90" s="4" t="s">
        <v>349</v>
      </c>
    </row>
    <row r="91" customFormat="false" ht="15" hidden="false" customHeight="false" outlineLevel="0" collapsed="false">
      <c r="A91" s="0" t="s">
        <v>350</v>
      </c>
      <c r="B91" s="0" t="n">
        <v>12</v>
      </c>
    </row>
    <row r="92" customFormat="false" ht="15" hidden="false" customHeight="false" outlineLevel="0" collapsed="false">
      <c r="A92" s="0" t="s">
        <v>351</v>
      </c>
      <c r="B92" s="0" t="n">
        <v>20.75</v>
      </c>
    </row>
    <row r="93" customFormat="false" ht="15" hidden="false" customHeight="false" outlineLevel="0" collapsed="false">
      <c r="A93" s="0" t="s">
        <v>352</v>
      </c>
      <c r="B93" s="0" t="n">
        <v>19.25</v>
      </c>
    </row>
    <row r="94" customFormat="false" ht="15" hidden="false" customHeight="false" outlineLevel="0" collapsed="false">
      <c r="A94" s="0" t="s">
        <v>353</v>
      </c>
      <c r="B94" s="0" t="s">
        <v>354</v>
      </c>
    </row>
    <row r="95" customFormat="false" ht="15" hidden="false" customHeight="false" outlineLevel="0" collapsed="false">
      <c r="A95" s="0" t="s">
        <v>355</v>
      </c>
      <c r="B95" s="0" t="s">
        <v>356</v>
      </c>
    </row>
    <row r="97" customFormat="false" ht="15" hidden="false" customHeight="false" outlineLevel="0" collapsed="false">
      <c r="A97" s="4" t="s">
        <v>357</v>
      </c>
    </row>
    <row r="98" customFormat="false" ht="58.2" hidden="false" customHeight="false" outlineLevel="0" collapsed="false">
      <c r="A98" s="3" t="s">
        <v>276</v>
      </c>
      <c r="B98" s="3" t="s">
        <v>197</v>
      </c>
      <c r="C98" s="3" t="s">
        <v>202</v>
      </c>
      <c r="D98" s="3" t="s">
        <v>358</v>
      </c>
      <c r="E98" s="3" t="s">
        <v>359</v>
      </c>
      <c r="F98" s="3" t="s">
        <v>360</v>
      </c>
      <c r="G98" s="3" t="s">
        <v>361</v>
      </c>
      <c r="H98" s="3" t="s">
        <v>362</v>
      </c>
      <c r="I98" s="3" t="s">
        <v>363</v>
      </c>
      <c r="J98" s="3" t="s">
        <v>212</v>
      </c>
      <c r="K98" s="3" t="s">
        <v>213</v>
      </c>
      <c r="L98" s="3" t="s">
        <v>216</v>
      </c>
    </row>
    <row r="99" customFormat="false" ht="15" hidden="false" customHeight="false" outlineLevel="0" collapsed="false">
      <c r="A99" s="0" t="s">
        <v>8</v>
      </c>
      <c r="B99" s="0" t="s">
        <v>224</v>
      </c>
      <c r="C99" s="0" t="n">
        <v>2</v>
      </c>
      <c r="D99" s="0" t="n">
        <v>1</v>
      </c>
      <c r="E99" s="0" t="s">
        <v>364</v>
      </c>
      <c r="F99" s="0" t="n">
        <v>1</v>
      </c>
      <c r="G99" s="0" t="s">
        <v>364</v>
      </c>
      <c r="H99" s="0" t="n">
        <v>12</v>
      </c>
      <c r="I99" s="0" t="n">
        <v>3</v>
      </c>
      <c r="J99" s="0" t="n">
        <v>250</v>
      </c>
      <c r="K99" s="0" t="n">
        <v>336</v>
      </c>
      <c r="L99" s="0" t="n">
        <v>6</v>
      </c>
    </row>
    <row r="100" customFormat="false" ht="15" hidden="false" customHeight="false" outlineLevel="0" collapsed="false">
      <c r="A100" s="0" t="s">
        <v>8</v>
      </c>
      <c r="B100" s="0" t="s">
        <v>228</v>
      </c>
      <c r="C100" s="0" t="n">
        <v>5</v>
      </c>
      <c r="D100" s="0" t="n">
        <v>4</v>
      </c>
      <c r="E100" s="0" t="s">
        <v>365</v>
      </c>
      <c r="F100" s="0" t="n">
        <v>4</v>
      </c>
      <c r="G100" s="0" t="s">
        <v>365</v>
      </c>
      <c r="H100" s="0" t="n">
        <v>13.25</v>
      </c>
      <c r="I100" s="0" t="n">
        <v>11</v>
      </c>
      <c r="J100" s="0" t="n">
        <v>1000</v>
      </c>
      <c r="K100" s="0" t="n">
        <v>1344</v>
      </c>
      <c r="L100" s="0" t="n">
        <v>21</v>
      </c>
    </row>
    <row r="101" customFormat="false" ht="15" hidden="false" customHeight="false" outlineLevel="0" collapsed="false">
      <c r="A101" s="0" t="s">
        <v>8</v>
      </c>
      <c r="B101" s="0" t="s">
        <v>232</v>
      </c>
      <c r="C101" s="0" t="n">
        <v>40</v>
      </c>
      <c r="D101" s="0" t="n">
        <v>40</v>
      </c>
      <c r="E101" s="0" t="s">
        <v>366</v>
      </c>
      <c r="F101" s="0" t="n">
        <v>73</v>
      </c>
      <c r="G101" s="0" t="s">
        <v>367</v>
      </c>
      <c r="H101" s="0" t="n">
        <v>18.25</v>
      </c>
      <c r="I101" s="0" t="n">
        <v>108</v>
      </c>
      <c r="J101" s="0" t="n">
        <v>10000</v>
      </c>
      <c r="K101" s="0" t="n">
        <v>13440</v>
      </c>
      <c r="L101" s="0" t="n">
        <v>207</v>
      </c>
    </row>
    <row r="102" customFormat="false" ht="15" hidden="false" customHeight="false" outlineLevel="0" collapsed="false">
      <c r="A102" s="0" t="s">
        <v>8</v>
      </c>
      <c r="B102" s="0" t="s">
        <v>236</v>
      </c>
      <c r="C102" s="0" t="n">
        <v>8</v>
      </c>
      <c r="D102" s="0" t="n">
        <v>8</v>
      </c>
      <c r="E102" s="0" t="s">
        <v>366</v>
      </c>
      <c r="F102" s="0" t="n">
        <v>15</v>
      </c>
      <c r="G102" s="0" t="s">
        <v>367</v>
      </c>
      <c r="H102" s="0" t="n">
        <v>15.75</v>
      </c>
      <c r="I102" s="0" t="n">
        <v>22</v>
      </c>
      <c r="J102" s="0" t="n">
        <v>2000</v>
      </c>
      <c r="K102" s="0" t="n">
        <v>2688</v>
      </c>
      <c r="L102" s="0" t="n">
        <v>42</v>
      </c>
    </row>
    <row r="103" customFormat="false" ht="15" hidden="false" customHeight="false" outlineLevel="0" collapsed="false">
      <c r="A103" s="0" t="s">
        <v>8</v>
      </c>
      <c r="B103" s="0" t="s">
        <v>240</v>
      </c>
      <c r="C103" s="0" t="n">
        <v>64</v>
      </c>
      <c r="D103" s="0" t="n">
        <v>64</v>
      </c>
      <c r="E103" s="0" t="s">
        <v>366</v>
      </c>
      <c r="F103" s="0" t="n">
        <v>116</v>
      </c>
      <c r="G103" s="0" t="s">
        <v>367</v>
      </c>
      <c r="H103" s="0" t="n">
        <v>19.25</v>
      </c>
      <c r="I103" s="0" t="n">
        <v>171</v>
      </c>
      <c r="J103" s="0" t="n">
        <v>16000</v>
      </c>
      <c r="K103" s="0" t="n">
        <v>21504</v>
      </c>
      <c r="L103" s="0" t="n">
        <v>331</v>
      </c>
    </row>
    <row r="104" customFormat="false" ht="15" hidden="false" customHeight="false" outlineLevel="0" collapsed="false">
      <c r="A104" s="0" t="s">
        <v>331</v>
      </c>
      <c r="B104" s="0" t="s">
        <v>224</v>
      </c>
      <c r="C104" s="0" t="n">
        <v>2</v>
      </c>
      <c r="D104" s="0" t="n">
        <v>1</v>
      </c>
      <c r="E104" s="0" t="s">
        <v>368</v>
      </c>
      <c r="F104" s="0" t="n">
        <v>1</v>
      </c>
      <c r="G104" s="0" t="s">
        <v>367</v>
      </c>
      <c r="H104" s="0" t="n">
        <v>20.75</v>
      </c>
      <c r="I104" s="0" t="n">
        <v>3</v>
      </c>
      <c r="J104" s="0" t="n">
        <v>250</v>
      </c>
      <c r="K104" s="0" t="n">
        <v>336</v>
      </c>
      <c r="L104" s="0" t="n">
        <v>6</v>
      </c>
    </row>
    <row r="105" customFormat="false" ht="15" hidden="false" customHeight="false" outlineLevel="0" collapsed="false">
      <c r="A105" s="0" t="s">
        <v>331</v>
      </c>
      <c r="B105" s="0" t="s">
        <v>228</v>
      </c>
      <c r="C105" s="0" t="n">
        <v>5</v>
      </c>
      <c r="D105" s="0" t="n">
        <v>3</v>
      </c>
      <c r="E105" s="0" t="s">
        <v>368</v>
      </c>
      <c r="F105" s="0" t="n">
        <v>3</v>
      </c>
      <c r="G105" s="0" t="s">
        <v>367</v>
      </c>
      <c r="H105" s="0" t="n">
        <v>20.75</v>
      </c>
      <c r="I105" s="0" t="n">
        <v>9</v>
      </c>
      <c r="J105" s="0" t="n">
        <v>750</v>
      </c>
      <c r="K105" s="0" t="n">
        <v>1008</v>
      </c>
      <c r="L105" s="0" t="n">
        <v>16</v>
      </c>
    </row>
    <row r="106" customFormat="false" ht="15" hidden="false" customHeight="false" outlineLevel="0" collapsed="false">
      <c r="A106" s="0" t="s">
        <v>331</v>
      </c>
      <c r="B106" s="0" t="s">
        <v>232</v>
      </c>
      <c r="C106" s="0" t="n">
        <v>40</v>
      </c>
      <c r="D106" s="0" t="n">
        <v>20</v>
      </c>
      <c r="E106" s="0" t="s">
        <v>368</v>
      </c>
      <c r="F106" s="0" t="n">
        <v>20</v>
      </c>
      <c r="G106" s="0" t="s">
        <v>367</v>
      </c>
      <c r="H106" s="0" t="n">
        <v>20.75</v>
      </c>
      <c r="I106" s="0" t="n">
        <v>60</v>
      </c>
      <c r="J106" s="0" t="n">
        <v>5000</v>
      </c>
      <c r="K106" s="0" t="n">
        <v>6720</v>
      </c>
      <c r="L106" s="0" t="n">
        <v>104</v>
      </c>
    </row>
    <row r="107" customFormat="false" ht="15" hidden="false" customHeight="false" outlineLevel="0" collapsed="false">
      <c r="A107" s="0" t="s">
        <v>331</v>
      </c>
      <c r="B107" s="0" t="s">
        <v>236</v>
      </c>
      <c r="C107" s="0" t="n">
        <v>8</v>
      </c>
      <c r="D107" s="0" t="n">
        <v>4</v>
      </c>
      <c r="E107" s="0" t="s">
        <v>368</v>
      </c>
      <c r="F107" s="0" t="n">
        <v>4</v>
      </c>
      <c r="G107" s="0" t="s">
        <v>367</v>
      </c>
      <c r="H107" s="0" t="n">
        <v>20.75</v>
      </c>
      <c r="I107" s="0" t="n">
        <v>12</v>
      </c>
      <c r="J107" s="0" t="n">
        <v>1000</v>
      </c>
      <c r="K107" s="0" t="n">
        <v>1344</v>
      </c>
      <c r="L107" s="0" t="n">
        <v>21</v>
      </c>
    </row>
    <row r="108" customFormat="false" ht="15" hidden="false" customHeight="false" outlineLevel="0" collapsed="false">
      <c r="A108" s="0" t="s">
        <v>331</v>
      </c>
      <c r="B108" s="0" t="s">
        <v>240</v>
      </c>
      <c r="C108" s="0" t="n">
        <v>64</v>
      </c>
      <c r="D108" s="0" t="n">
        <v>32</v>
      </c>
      <c r="E108" s="0" t="s">
        <v>368</v>
      </c>
      <c r="F108" s="0" t="n">
        <v>32</v>
      </c>
      <c r="G108" s="0" t="s">
        <v>367</v>
      </c>
      <c r="H108" s="0" t="n">
        <v>20.75</v>
      </c>
      <c r="I108" s="0" t="n">
        <v>96</v>
      </c>
      <c r="J108" s="0" t="n">
        <v>8000</v>
      </c>
      <c r="K108" s="0" t="n">
        <v>10752</v>
      </c>
      <c r="L108" s="0" t="n">
        <v>166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5" min="4" style="0" width="12"/>
    <col collapsed="false" customWidth="true" hidden="false" outlineLevel="0" max="6" min="6" style="0" width="11"/>
    <col collapsed="false" customWidth="true" hidden="false" outlineLevel="0" max="8" min="7" style="0" width="18"/>
    <col collapsed="false" customWidth="true" hidden="false" outlineLevel="0" max="9" min="9" style="0" width="80"/>
  </cols>
  <sheetData>
    <row r="1" customFormat="false" ht="17.35" hidden="false" customHeight="false" outlineLevel="0" collapsed="false">
      <c r="A1" s="1" t="s">
        <v>369</v>
      </c>
    </row>
    <row r="2" customFormat="false" ht="15" hidden="false" customHeight="false" outlineLevel="0" collapsed="false">
      <c r="A2" s="2" t="s">
        <v>370</v>
      </c>
    </row>
    <row r="4" customFormat="false" ht="15" hidden="false" customHeight="false" outlineLevel="0" collapsed="false">
      <c r="A4" s="4" t="s">
        <v>371</v>
      </c>
      <c r="B4" s="7" t="str">
        <f aca="false">Inputs!$B$30</f>
        <v>equipment</v>
      </c>
    </row>
    <row r="5" customFormat="false" ht="15" hidden="false" customHeight="false" outlineLevel="0" collapsed="false">
      <c r="A5" s="6" t="s">
        <v>372</v>
      </c>
      <c r="B5" s="7" t="n">
        <f aca="false">Inputs!$B$27*INT(Inputs!$B$31/Inputs!$B$8)</f>
        <v>10</v>
      </c>
    </row>
    <row r="6" customFormat="false" ht="15" hidden="false" customHeight="false" outlineLevel="0" collapsed="false">
      <c r="A6" s="6" t="s">
        <v>373</v>
      </c>
      <c r="B6" s="7" t="n">
        <f aca="false">ROUNDUP(Inputs!$B$28/Inputs!$B$29,0)</f>
        <v>10</v>
      </c>
    </row>
    <row r="7" customFormat="false" ht="15" hidden="false" customHeight="false" outlineLevel="0" collapsed="false">
      <c r="A7" s="4" t="s">
        <v>374</v>
      </c>
      <c r="B7" s="7" t="n">
        <f aca="false">IF(B4="demand",B6,B5)</f>
        <v>10</v>
      </c>
    </row>
    <row r="8" customFormat="false" ht="15" hidden="false" customHeight="false" outlineLevel="0" collapsed="false">
      <c r="A8" s="0" t="s">
        <v>375</v>
      </c>
      <c r="B8" s="7" t="n">
        <f aca="false">INT(Inputs!$B$31/Inputs!$B$8)</f>
        <v>1</v>
      </c>
    </row>
    <row r="10" customFormat="false" ht="58.2" hidden="false" customHeight="false" outlineLevel="0" collapsed="false">
      <c r="A10" s="3" t="s">
        <v>116</v>
      </c>
      <c r="B10" s="3" t="s">
        <v>376</v>
      </c>
      <c r="C10" s="3" t="s">
        <v>377</v>
      </c>
      <c r="D10" s="3" t="s">
        <v>378</v>
      </c>
      <c r="E10" s="3" t="s">
        <v>379</v>
      </c>
      <c r="F10" s="3" t="s">
        <v>380</v>
      </c>
      <c r="G10" s="3" t="s">
        <v>381</v>
      </c>
      <c r="H10" s="3" t="s">
        <v>382</v>
      </c>
      <c r="I10" s="3" t="s">
        <v>383</v>
      </c>
    </row>
    <row r="11" customFormat="false" ht="15" hidden="false" customHeight="false" outlineLevel="0" collapsed="false">
      <c r="A11" s="4" t="s">
        <v>384</v>
      </c>
      <c r="B11" s="0" t="n">
        <f aca="false">Inputs!$B$8</f>
        <v>11.33</v>
      </c>
      <c r="C11" s="7" t="n">
        <f aca="false">ROUNDUP(Sizing!$B$7/B8,0)</f>
        <v>10</v>
      </c>
      <c r="D11" s="7" t="n">
        <f aca="false">Sizing!$B$7*B11</f>
        <v>113.3</v>
      </c>
      <c r="E11" s="0" t="n">
        <f aca="false">Inputs!$B$31</f>
        <v>12</v>
      </c>
      <c r="F11" s="11" t="n">
        <f aca="false">IF(C11=0,0,D11/(C11*E11))</f>
        <v>0.944166666666667</v>
      </c>
      <c r="G11" s="0" t="n">
        <v>10</v>
      </c>
      <c r="H11" s="0" t="n">
        <v>10</v>
      </c>
      <c r="I11" s="2" t="s">
        <v>385</v>
      </c>
    </row>
    <row r="12" customFormat="false" ht="15" hidden="false" customHeight="false" outlineLevel="0" collapsed="false">
      <c r="A12" s="4" t="s">
        <v>147</v>
      </c>
      <c r="B12" s="7" t="n">
        <f aca="false">Process!F14</f>
        <v>1.75</v>
      </c>
      <c r="C12" s="7" t="n">
        <f aca="false">MAX(1,ROUNDUP(Sizing!$B$7*B12/(Inputs!$B$32*Inputs!$B$35),0))</f>
        <v>1</v>
      </c>
      <c r="D12" s="7" t="n">
        <f aca="false">Sizing!$B$7*B12</f>
        <v>17.5</v>
      </c>
      <c r="E12" s="0" t="n">
        <f aca="false">Inputs!$B$32</f>
        <v>24</v>
      </c>
      <c r="F12" s="11" t="n">
        <f aca="false">IF(C12=0,0,D12/(C12*E12))</f>
        <v>0.729166666666667</v>
      </c>
      <c r="G12" s="0" t="n">
        <v>2</v>
      </c>
      <c r="H12" s="0" t="n">
        <v>8</v>
      </c>
      <c r="I12" s="2" t="s">
        <v>386</v>
      </c>
    </row>
    <row r="13" customFormat="false" ht="15" hidden="false" customHeight="false" outlineLevel="0" collapsed="false">
      <c r="A13" s="4" t="s">
        <v>387</v>
      </c>
      <c r="B13" s="7" t="n">
        <f aca="false">Process!F15+Process!F18</f>
        <v>2.5</v>
      </c>
      <c r="C13" s="7" t="n">
        <f aca="false">MAX(1,ROUNDUP(Sizing!$B$7*B13/(Inputs!$B$32*Inputs!$B$35),0))</f>
        <v>2</v>
      </c>
      <c r="D13" s="7" t="n">
        <f aca="false">Sizing!$B$7*B13</f>
        <v>25</v>
      </c>
      <c r="E13" s="0" t="n">
        <f aca="false">Inputs!$B$32</f>
        <v>24</v>
      </c>
      <c r="F13" s="11" t="n">
        <f aca="false">IF(C13=0,0,D13/(C13*E13))</f>
        <v>0.520833333333333</v>
      </c>
      <c r="G13" s="0" t="n">
        <v>6</v>
      </c>
      <c r="H13" s="0" t="n">
        <v>19</v>
      </c>
      <c r="I13" s="2" t="s">
        <v>386</v>
      </c>
    </row>
    <row r="14" customFormat="false" ht="15" hidden="false" customHeight="false" outlineLevel="0" collapsed="false">
      <c r="A14" s="4" t="s">
        <v>156</v>
      </c>
      <c r="B14" s="7" t="n">
        <f aca="false">Process!F16</f>
        <v>0.75</v>
      </c>
      <c r="C14" s="7" t="n">
        <f aca="false">MAX(1,ROUNDUP(Sizing!$B$7*B14/(Inputs!$B$32*Inputs!$B$35),0))</f>
        <v>1</v>
      </c>
      <c r="D14" s="7" t="n">
        <f aca="false">Sizing!$B$7*B14</f>
        <v>7.5</v>
      </c>
      <c r="E14" s="0" t="n">
        <f aca="false">Inputs!$B$32</f>
        <v>24</v>
      </c>
      <c r="F14" s="11" t="n">
        <f aca="false">IF(C14=0,0,D14/(C14*E14))</f>
        <v>0.3125</v>
      </c>
      <c r="G14" s="0" t="n">
        <v>1</v>
      </c>
      <c r="H14" s="0" t="n">
        <v>5</v>
      </c>
      <c r="I14" s="2" t="s">
        <v>386</v>
      </c>
    </row>
    <row r="15" customFormat="false" ht="15" hidden="false" customHeight="false" outlineLevel="0" collapsed="false">
      <c r="A15" s="4" t="s">
        <v>167</v>
      </c>
      <c r="B15" s="7" t="n">
        <f aca="false">Process!F19</f>
        <v>1.25</v>
      </c>
      <c r="C15" s="7" t="n">
        <f aca="false">MAX(1,ROUNDUP(Sizing!$B$7*B15/(Inputs!$B$32*Inputs!$B$35),0))</f>
        <v>1</v>
      </c>
      <c r="D15" s="7" t="n">
        <f aca="false">Sizing!$B$7*B15</f>
        <v>12.5</v>
      </c>
      <c r="E15" s="0" t="n">
        <f aca="false">Inputs!$B$32</f>
        <v>24</v>
      </c>
      <c r="F15" s="11" t="n">
        <f aca="false">IF(C15=0,0,D15/(C15*E15))</f>
        <v>0.520833333333333</v>
      </c>
      <c r="G15" s="0" t="n">
        <v>1</v>
      </c>
      <c r="H15" s="0" t="n">
        <v>8</v>
      </c>
      <c r="I15" s="2" t="s">
        <v>386</v>
      </c>
    </row>
    <row r="16" customFormat="false" ht="15" hidden="false" customHeight="false" outlineLevel="0" collapsed="false">
      <c r="A16" s="4" t="s">
        <v>171</v>
      </c>
      <c r="B16" s="7" t="n">
        <f aca="false">Process!F20</f>
        <v>0.75</v>
      </c>
      <c r="C16" s="7" t="n">
        <f aca="false">MAX(1,ROUNDUP(Sizing!$B$7*B16/(Inputs!$B$32*Inputs!$B$35),0))</f>
        <v>1</v>
      </c>
      <c r="D16" s="7" t="n">
        <f aca="false">Sizing!$B$7*B16</f>
        <v>7.5</v>
      </c>
      <c r="E16" s="0" t="n">
        <f aca="false">Inputs!$B$32</f>
        <v>24</v>
      </c>
      <c r="F16" s="11" t="n">
        <f aca="false">IF(C16=0,0,D16/(C16*E16))</f>
        <v>0.3125</v>
      </c>
      <c r="G16" s="0" t="n">
        <v>1</v>
      </c>
      <c r="H16" s="0" t="n">
        <v>2</v>
      </c>
      <c r="I16" s="2" t="s">
        <v>386</v>
      </c>
    </row>
    <row r="17" customFormat="false" ht="15" hidden="false" customHeight="false" outlineLevel="0" collapsed="false">
      <c r="A17" s="4" t="s">
        <v>175</v>
      </c>
      <c r="B17" s="7" t="n">
        <f aca="false">Process!F21</f>
        <v>1</v>
      </c>
      <c r="C17" s="7" t="n">
        <f aca="false">MAX(1,ROUNDUP(Sizing!$B$7*B17/(Inputs!$B$32*Inputs!$B$35),0))</f>
        <v>1</v>
      </c>
      <c r="D17" s="7" t="n">
        <f aca="false">Sizing!$B$7*B17</f>
        <v>10</v>
      </c>
      <c r="E17" s="0" t="n">
        <f aca="false">Inputs!$B$32</f>
        <v>24</v>
      </c>
      <c r="F17" s="11" t="n">
        <f aca="false">IF(C17=0,0,D17/(C17*E17))</f>
        <v>0.416666666666667</v>
      </c>
      <c r="G17" s="0" t="n">
        <v>1</v>
      </c>
      <c r="H17" s="0" t="n">
        <v>2</v>
      </c>
      <c r="I17" s="2" t="s">
        <v>386</v>
      </c>
    </row>
    <row r="18" customFormat="false" ht="15" hidden="false" customHeight="false" outlineLevel="0" collapsed="false">
      <c r="A18" s="4" t="s">
        <v>388</v>
      </c>
      <c r="B18" s="7" t="n">
        <f aca="false">(IF(Inputs!$B$13=1,ROUNDUP(Inputs!$B$10/Inputs!$B$11,0)/Inputs!$B$12,ROUNDUP(Inputs!$B$10/(Inputs!$B$11*Inputs!$B$12),0))*Inputs!$B$16+IF(Inputs!$B$13=1,ROUNDUP(Inputs!$B$14/Inputs!$B$11,0)/Inputs!$B$12,1)*Inputs!$B$7/24)</f>
        <v>5.16666666666667</v>
      </c>
      <c r="C18" s="7" t="n">
        <f aca="false">ROUNDUP(Sizing!$B$7*B18/Inputs!$B$35,0)</f>
        <v>61</v>
      </c>
      <c r="D18" s="7" t="n">
        <f aca="false">Sizing!$B$7*B18*24</f>
        <v>1240</v>
      </c>
      <c r="E18" s="0" t="n">
        <v>24</v>
      </c>
      <c r="F18" s="11" t="n">
        <f aca="false">IF(C18=0,0,Sizing!$B$7*B18/C18)</f>
        <v>0.846994535519126</v>
      </c>
      <c r="G18" s="0" t="n">
        <v>61</v>
      </c>
      <c r="H18" s="0" t="n">
        <v>61</v>
      </c>
      <c r="I18" s="2" t="s">
        <v>389</v>
      </c>
    </row>
    <row r="19" customFormat="false" ht="15" hidden="false" customHeight="false" outlineLevel="0" collapsed="false">
      <c r="A19" s="4" t="s">
        <v>390</v>
      </c>
      <c r="B19" s="7" t="n">
        <f aca="false">'Day4'!$C$16</f>
        <v>27.08</v>
      </c>
      <c r="C19" s="7" t="n">
        <f aca="false">ROUNDUP(Sizing!$B$7*B19/(Inputs!$B$33*Inputs!$B$34*Inputs!$B$35),0)</f>
        <v>14</v>
      </c>
      <c r="D19" s="7" t="n">
        <f aca="false">Sizing!$B$7*B19</f>
        <v>270.8</v>
      </c>
      <c r="E19" s="0" t="n">
        <f aca="false">Inputs!$B$33*Inputs!$B$34</f>
        <v>24</v>
      </c>
      <c r="F19" s="11" t="n">
        <f aca="false">IF(C19=0,0,D19/(C19*E19))</f>
        <v>0.805952380952381</v>
      </c>
      <c r="G19" s="0" t="n">
        <v>31</v>
      </c>
      <c r="H19" s="0" t="n">
        <v>26</v>
      </c>
      <c r="I19" s="2" t="s">
        <v>391</v>
      </c>
    </row>
    <row r="20" customFormat="false" ht="15" hidden="false" customHeight="false" outlineLevel="0" collapsed="false">
      <c r="F20" s="10"/>
    </row>
    <row r="21" customFormat="false" ht="15" hidden="false" customHeight="false" outlineLevel="0" collapsed="false">
      <c r="A21" s="4" t="s">
        <v>392</v>
      </c>
      <c r="C21" s="7" t="n">
        <f aca="false">MAX(C11,C13,C14,C15)</f>
        <v>10</v>
      </c>
    </row>
    <row r="22" customFormat="false" ht="15" hidden="false" customHeight="false" outlineLevel="0" collapsed="false">
      <c r="A22" s="4" t="s">
        <v>393</v>
      </c>
      <c r="C22" s="7" t="n">
        <f aca="false">ROUNDUP(Sizing!$B$7*7*Inputs!$B$19,0)</f>
        <v>56</v>
      </c>
      <c r="D22" s="7" t="n">
        <f aca="false">ROUNDUP(Sizing!$B$7*5*Inputs!$B$19,0)</f>
        <v>40</v>
      </c>
    </row>
    <row r="23" customFormat="false" ht="15" hidden="false" customHeight="false" outlineLevel="0" collapsed="false">
      <c r="A23" s="4" t="s">
        <v>394</v>
      </c>
      <c r="C23" s="7" t="n">
        <f aca="false">ROUND(Sizing!$B$7*7*'Day4'!$C$16/Inputs!$B$20,1)</f>
        <v>47.4</v>
      </c>
      <c r="D23" s="7" t="n">
        <f aca="false">ROUND(Sizing!$B$7*5*'Day4'!$C$16/Inputs!$B$20,1)</f>
        <v>33.9</v>
      </c>
    </row>
    <row r="24" customFormat="false" ht="15" hidden="false" customHeight="false" outlineLevel="0" collapsed="false">
      <c r="A24" s="4" t="s">
        <v>395</v>
      </c>
      <c r="C24" s="7" t="n">
        <f aca="false">ROUNDUP(Sizing!$B$7*7*Inputs!$B$17/Inputs!$B$18,0)</f>
        <v>93</v>
      </c>
      <c r="D24" s="7" t="n">
        <f aca="false">ROUNDUP(Sizing!$B$7*5*Inputs!$B$17/Inputs!$B$18,0)</f>
        <v>67</v>
      </c>
    </row>
    <row r="25" customFormat="false" ht="15" hidden="false" customHeight="false" outlineLevel="0" collapsed="false">
      <c r="A25" s="4" t="s">
        <v>396</v>
      </c>
      <c r="C25" s="7" t="n">
        <f aca="false">Sizing!$B$7*Inputs!$B$21</f>
        <v>2500</v>
      </c>
      <c r="D25" s="7" t="n">
        <f aca="false">Sizing!$B$7*Inputs!$B$22</f>
        <v>3360</v>
      </c>
    </row>
    <row r="27" customFormat="false" ht="15" hidden="false" customHeight="false" outlineLevel="0" collapsed="false">
      <c r="A27" s="2" t="s">
        <v>397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6"/>
    <col collapsed="false" customWidth="true" hidden="false" outlineLevel="0" max="4" min="3" style="0" width="12"/>
    <col collapsed="false" customWidth="true" hidden="false" outlineLevel="0" max="5" min="5" style="0" width="16"/>
    <col collapsed="false" customWidth="true" hidden="false" outlineLevel="0" max="6" min="6" style="0" width="12"/>
    <col collapsed="false" customWidth="true" hidden="false" outlineLevel="0" max="10" min="7" style="0" width="14"/>
    <col collapsed="false" customWidth="true" hidden="false" outlineLevel="0" max="16" min="11" style="0" width="12"/>
    <col collapsed="false" customWidth="true" hidden="false" outlineLevel="0" max="17" min="17" style="0" width="14"/>
    <col collapsed="false" customWidth="true" hidden="false" outlineLevel="0" max="21" min="18" style="0" width="10"/>
    <col collapsed="false" customWidth="true" hidden="false" outlineLevel="0" max="22" min="22" style="0" width="18"/>
    <col collapsed="false" customWidth="true" hidden="false" outlineLevel="0" max="23" min="23" style="0" width="60"/>
  </cols>
  <sheetData>
    <row r="1" customFormat="false" ht="17.35" hidden="false" customHeight="false" outlineLevel="0" collapsed="false">
      <c r="A1" s="1" t="s">
        <v>398</v>
      </c>
    </row>
    <row r="2" customFormat="false" ht="15" hidden="false" customHeight="false" outlineLevel="0" collapsed="false">
      <c r="A2" s="2" t="s">
        <v>399</v>
      </c>
    </row>
    <row r="4" customFormat="false" ht="44" hidden="false" customHeight="false" outlineLevel="0" collapsed="false">
      <c r="A4" s="3" t="s">
        <v>400</v>
      </c>
      <c r="B4" s="3" t="s">
        <v>198</v>
      </c>
      <c r="C4" s="3" t="s">
        <v>401</v>
      </c>
      <c r="D4" s="3" t="s">
        <v>201</v>
      </c>
      <c r="E4" s="3" t="s">
        <v>402</v>
      </c>
      <c r="F4" s="3" t="s">
        <v>147</v>
      </c>
      <c r="G4" s="3" t="s">
        <v>403</v>
      </c>
      <c r="H4" s="3" t="s">
        <v>404</v>
      </c>
      <c r="I4" s="3" t="s">
        <v>405</v>
      </c>
      <c r="J4" s="3" t="s">
        <v>406</v>
      </c>
      <c r="K4" s="3" t="s">
        <v>407</v>
      </c>
      <c r="L4" s="3" t="s">
        <v>408</v>
      </c>
    </row>
    <row r="5" customFormat="false" ht="15" hidden="false" customHeight="false" outlineLevel="0" collapsed="false">
      <c r="A5" s="0" t="s">
        <v>224</v>
      </c>
      <c r="B5" s="0" t="s">
        <v>225</v>
      </c>
      <c r="C5" s="0" t="n">
        <v>2</v>
      </c>
      <c r="D5" s="0" t="n">
        <v>1</v>
      </c>
      <c r="E5" s="0" t="n">
        <v>3</v>
      </c>
      <c r="F5" s="0" t="s">
        <v>409</v>
      </c>
      <c r="G5" s="0" t="n">
        <v>2</v>
      </c>
      <c r="H5" s="0" t="n">
        <v>1</v>
      </c>
      <c r="I5" s="7" t="n">
        <f aca="false">MIN(D5*INT(Inputs!$B$31/Inputs!$B$8),IF(Inputs!$B$5="rtx",H5,G5))</f>
        <v>1</v>
      </c>
      <c r="J5" s="2" t="s">
        <v>410</v>
      </c>
      <c r="K5" s="2" t="s">
        <v>411</v>
      </c>
      <c r="L5" s="2" t="s">
        <v>412</v>
      </c>
    </row>
    <row r="6" customFormat="false" ht="15" hidden="false" customHeight="false" outlineLevel="0" collapsed="false">
      <c r="A6" s="0" t="s">
        <v>228</v>
      </c>
      <c r="B6" s="0" t="s">
        <v>229</v>
      </c>
      <c r="C6" s="0" t="n">
        <v>1</v>
      </c>
      <c r="D6" s="0" t="n">
        <v>5</v>
      </c>
      <c r="E6" s="0" t="n">
        <v>25</v>
      </c>
      <c r="F6" s="0" t="n">
        <v>5</v>
      </c>
      <c r="G6" s="0" t="n">
        <v>10</v>
      </c>
      <c r="H6" s="0" t="n">
        <v>3</v>
      </c>
      <c r="I6" s="7" t="n">
        <f aca="false">MIN(D6*INT(Inputs!$B$31/Inputs!$B$8),IF(Inputs!$B$5="rtx",H6,G6))</f>
        <v>5</v>
      </c>
      <c r="J6" s="2" t="s">
        <v>413</v>
      </c>
      <c r="K6" s="2" t="s">
        <v>414</v>
      </c>
      <c r="L6" s="2" t="s">
        <v>415</v>
      </c>
    </row>
    <row r="7" customFormat="false" ht="15" hidden="false" customHeight="false" outlineLevel="0" collapsed="false">
      <c r="A7" s="0" t="s">
        <v>236</v>
      </c>
      <c r="B7" s="0" t="s">
        <v>225</v>
      </c>
      <c r="C7" s="0" t="n">
        <v>1</v>
      </c>
      <c r="D7" s="0" t="n">
        <v>8</v>
      </c>
      <c r="E7" s="0" t="n">
        <v>36</v>
      </c>
      <c r="F7" s="0" t="n">
        <v>5</v>
      </c>
      <c r="G7" s="0" t="n">
        <v>15</v>
      </c>
      <c r="H7" s="0" t="n">
        <v>4</v>
      </c>
      <c r="I7" s="7" t="n">
        <f aca="false">MIN(D7*INT(Inputs!$B$31/Inputs!$B$8),IF(Inputs!$B$5="rtx",H7,G7))</f>
        <v>8</v>
      </c>
      <c r="J7" s="2" t="s">
        <v>416</v>
      </c>
      <c r="K7" s="2" t="s">
        <v>417</v>
      </c>
      <c r="L7" s="2" t="s">
        <v>418</v>
      </c>
    </row>
    <row r="8" customFormat="false" ht="15" hidden="false" customHeight="false" outlineLevel="0" collapsed="false">
      <c r="A8" s="0" t="s">
        <v>419</v>
      </c>
      <c r="B8" s="0" t="s">
        <v>233</v>
      </c>
      <c r="C8" s="0" t="n">
        <v>8</v>
      </c>
      <c r="D8" s="0" t="n">
        <v>8</v>
      </c>
      <c r="F8" s="0" t="s">
        <v>409</v>
      </c>
      <c r="G8" s="0" t="n">
        <v>15</v>
      </c>
      <c r="H8" s="0" t="n">
        <v>4</v>
      </c>
      <c r="I8" s="7" t="n">
        <f aca="false">MIN(D8*INT(Inputs!$B$31/Inputs!$B$8),IF(Inputs!$B$5="rtx",H8,G8))</f>
        <v>8</v>
      </c>
      <c r="J8" s="2" t="s">
        <v>420</v>
      </c>
      <c r="K8" s="2" t="s">
        <v>421</v>
      </c>
      <c r="L8" s="2" t="s">
        <v>422</v>
      </c>
    </row>
    <row r="9" customFormat="false" ht="15" hidden="false" customHeight="false" outlineLevel="0" collapsed="false">
      <c r="A9" s="0" t="s">
        <v>423</v>
      </c>
      <c r="B9" s="0" t="s">
        <v>233</v>
      </c>
      <c r="C9" s="0" t="n">
        <v>8</v>
      </c>
      <c r="D9" s="0" t="n">
        <v>10</v>
      </c>
      <c r="F9" s="0" t="s">
        <v>409</v>
      </c>
      <c r="G9" s="0" t="n">
        <v>19</v>
      </c>
      <c r="H9" s="0" t="n">
        <v>5</v>
      </c>
      <c r="I9" s="7" t="n">
        <f aca="false">MIN(D9*INT(Inputs!$B$31/Inputs!$B$8),IF(Inputs!$B$5="rtx",H9,G9))</f>
        <v>10</v>
      </c>
      <c r="J9" s="2" t="s">
        <v>424</v>
      </c>
      <c r="K9" s="2" t="s">
        <v>425</v>
      </c>
      <c r="L9" s="2" t="s">
        <v>422</v>
      </c>
    </row>
    <row r="11" customFormat="false" ht="15" hidden="false" customHeight="false" outlineLevel="0" collapsed="false">
      <c r="A11" s="4" t="s">
        <v>426</v>
      </c>
    </row>
    <row r="12" customFormat="false" ht="29.85" hidden="false" customHeight="false" outlineLevel="0" collapsed="false">
      <c r="A12" s="3" t="s">
        <v>427</v>
      </c>
      <c r="B12" s="3" t="s">
        <v>428</v>
      </c>
      <c r="C12" s="3" t="s">
        <v>429</v>
      </c>
      <c r="D12" s="3" t="s">
        <v>430</v>
      </c>
    </row>
    <row r="13" customFormat="false" ht="15" hidden="false" customHeight="false" outlineLevel="0" collapsed="false">
      <c r="A13" s="0" t="n">
        <v>1</v>
      </c>
      <c r="B13" s="0" t="s">
        <v>431</v>
      </c>
      <c r="C13" s="7" t="n">
        <f aca="false">Growth!$I$7</f>
        <v>8</v>
      </c>
      <c r="D13" s="7" t="n">
        <f aca="false">C13</f>
        <v>8</v>
      </c>
    </row>
    <row r="14" customFormat="false" ht="15" hidden="false" customHeight="false" outlineLevel="0" collapsed="false">
      <c r="A14" s="0" t="n">
        <v>2</v>
      </c>
      <c r="B14" s="0" t="s">
        <v>432</v>
      </c>
      <c r="C14" s="7" t="n">
        <f aca="false">Growth!$I$8</f>
        <v>8</v>
      </c>
      <c r="D14" s="7" t="n">
        <f aca="false">D13+C14</f>
        <v>16</v>
      </c>
    </row>
    <row r="15" customFormat="false" ht="15" hidden="false" customHeight="false" outlineLevel="0" collapsed="false">
      <c r="A15" s="0" t="n">
        <v>3</v>
      </c>
      <c r="B15" s="0" t="s">
        <v>433</v>
      </c>
      <c r="C15" s="7" t="n">
        <f aca="false">Growth!$I$8</f>
        <v>8</v>
      </c>
      <c r="D15" s="7" t="n">
        <f aca="false">D14+C15</f>
        <v>24</v>
      </c>
    </row>
    <row r="16" customFormat="false" ht="15" hidden="false" customHeight="false" outlineLevel="0" collapsed="false">
      <c r="A16" s="0" t="n">
        <v>4</v>
      </c>
      <c r="B16" s="0" t="s">
        <v>434</v>
      </c>
      <c r="C16" s="7" t="n">
        <f aca="false">Growth!$I$8</f>
        <v>8</v>
      </c>
      <c r="D16" s="7" t="n">
        <f aca="false">D15+C16</f>
        <v>32</v>
      </c>
    </row>
    <row r="17" customFormat="false" ht="15" hidden="false" customHeight="false" outlineLevel="0" collapsed="false">
      <c r="A17" s="0" t="n">
        <v>5</v>
      </c>
      <c r="B17" s="0" t="s">
        <v>435</v>
      </c>
      <c r="C17" s="7" t="n">
        <f aca="false">Growth!$I$8</f>
        <v>8</v>
      </c>
      <c r="D17" s="7" t="n">
        <f aca="false">D16+C17</f>
        <v>40</v>
      </c>
    </row>
    <row r="18" customFormat="false" ht="15" hidden="false" customHeight="false" outlineLevel="0" collapsed="false">
      <c r="A18" s="0" t="n">
        <v>6</v>
      </c>
      <c r="B18" s="0" t="s">
        <v>436</v>
      </c>
      <c r="C18" s="7" t="n">
        <f aca="false">Growth!$I$8</f>
        <v>8</v>
      </c>
      <c r="D18" s="7" t="n">
        <f aca="false">D17+C18</f>
        <v>48</v>
      </c>
    </row>
    <row r="19" customFormat="false" ht="15" hidden="false" customHeight="false" outlineLevel="0" collapsed="false">
      <c r="A19" s="0" t="n">
        <v>7</v>
      </c>
      <c r="B19" s="0" t="s">
        <v>437</v>
      </c>
      <c r="C19" s="7" t="n">
        <f aca="false">Growth!$I$8</f>
        <v>8</v>
      </c>
      <c r="D19" s="7" t="n">
        <f aca="false">D18+C19</f>
        <v>56</v>
      </c>
    </row>
    <row r="20" customFormat="false" ht="15" hidden="false" customHeight="false" outlineLevel="0" collapsed="false">
      <c r="A20" s="0" t="n">
        <v>8</v>
      </c>
      <c r="B20" s="0" t="s">
        <v>438</v>
      </c>
      <c r="C20" s="7" t="n">
        <f aca="false">Growth!$I$8</f>
        <v>8</v>
      </c>
      <c r="D20" s="7" t="n">
        <f aca="false">D19+C20</f>
        <v>64</v>
      </c>
    </row>
    <row r="21" customFormat="false" ht="15" hidden="false" customHeight="false" outlineLevel="0" collapsed="false">
      <c r="A21" s="0" t="n">
        <v>9</v>
      </c>
      <c r="B21" s="0" t="s">
        <v>439</v>
      </c>
      <c r="C21" s="7" t="n">
        <f aca="false">Growth!$I$8</f>
        <v>8</v>
      </c>
      <c r="D21" s="7" t="n">
        <f aca="false">D20+C21</f>
        <v>72</v>
      </c>
    </row>
    <row r="22" customFormat="false" ht="15" hidden="false" customHeight="false" outlineLevel="0" collapsed="false">
      <c r="A22" s="0" t="n">
        <v>10</v>
      </c>
      <c r="B22" s="0" t="s">
        <v>440</v>
      </c>
      <c r="C22" s="7" t="n">
        <f aca="false">Growth!$I$9</f>
        <v>10</v>
      </c>
      <c r="D22" s="7" t="n">
        <f aca="false">D21+C22</f>
        <v>82</v>
      </c>
    </row>
    <row r="23" customFormat="false" ht="15" hidden="false" customHeight="false" outlineLevel="0" collapsed="false">
      <c r="A23" s="0" t="n">
        <v>11</v>
      </c>
      <c r="B23" s="0" t="s">
        <v>441</v>
      </c>
      <c r="C23" s="7" t="n">
        <f aca="false">Growth!$I$9</f>
        <v>10</v>
      </c>
      <c r="D23" s="7" t="n">
        <f aca="false">D22+C23</f>
        <v>92</v>
      </c>
    </row>
    <row r="24" customFormat="false" ht="15" hidden="false" customHeight="false" outlineLevel="0" collapsed="false">
      <c r="A24" s="0" t="n">
        <v>12</v>
      </c>
      <c r="B24" s="0" t="s">
        <v>442</v>
      </c>
      <c r="C24" s="7" t="n">
        <f aca="false">Growth!$I$9</f>
        <v>10</v>
      </c>
      <c r="D24" s="7" t="n">
        <f aca="false">D23+C24</f>
        <v>102</v>
      </c>
    </row>
    <row r="25" customFormat="false" ht="15" hidden="false" customHeight="false" outlineLevel="0" collapsed="false">
      <c r="A25" s="0" t="n">
        <v>13</v>
      </c>
      <c r="B25" s="0" t="s">
        <v>443</v>
      </c>
      <c r="C25" s="7" t="n">
        <f aca="false">Growth!$I$9</f>
        <v>10</v>
      </c>
      <c r="D25" s="7" t="n">
        <f aca="false">D24+C25</f>
        <v>112</v>
      </c>
    </row>
    <row r="26" customFormat="false" ht="15" hidden="false" customHeight="false" outlineLevel="0" collapsed="false">
      <c r="A26" s="0" t="n">
        <v>14</v>
      </c>
      <c r="B26" s="0" t="s">
        <v>444</v>
      </c>
      <c r="C26" s="7" t="n">
        <f aca="false">Growth!$I$9</f>
        <v>10</v>
      </c>
      <c r="D26" s="7" t="n">
        <f aca="false">D25+C26</f>
        <v>122</v>
      </c>
    </row>
    <row r="27" customFormat="false" ht="15" hidden="false" customHeight="false" outlineLevel="0" collapsed="false">
      <c r="A27" s="0" t="n">
        <v>15</v>
      </c>
      <c r="B27" s="0" t="s">
        <v>445</v>
      </c>
      <c r="C27" s="7" t="n">
        <f aca="false">Growth!$I$9</f>
        <v>10</v>
      </c>
      <c r="D27" s="7" t="n">
        <f aca="false">D26+C27</f>
        <v>132</v>
      </c>
    </row>
    <row r="28" customFormat="false" ht="15" hidden="false" customHeight="false" outlineLevel="0" collapsed="false">
      <c r="A28" s="0" t="n">
        <v>16</v>
      </c>
      <c r="B28" s="0" t="s">
        <v>446</v>
      </c>
      <c r="C28" s="7" t="n">
        <f aca="false">Growth!$I$9</f>
        <v>10</v>
      </c>
      <c r="D28" s="7" t="n">
        <f aca="false">D27+C28</f>
        <v>142</v>
      </c>
    </row>
    <row r="29" customFormat="false" ht="15" hidden="false" customHeight="false" outlineLevel="0" collapsed="false">
      <c r="A29" s="0" t="n">
        <v>17</v>
      </c>
      <c r="B29" s="0" t="s">
        <v>447</v>
      </c>
      <c r="C29" s="7" t="n">
        <f aca="false">Growth!$I$9</f>
        <v>10</v>
      </c>
      <c r="D29" s="7" t="n">
        <f aca="false">D28+C29</f>
        <v>152</v>
      </c>
    </row>
    <row r="31" customFormat="false" ht="15" hidden="false" customHeight="false" outlineLevel="0" collapsed="false">
      <c r="A31" s="4" t="s">
        <v>448</v>
      </c>
    </row>
    <row r="32" customFormat="false" ht="44" hidden="false" customHeight="false" outlineLevel="0" collapsed="false">
      <c r="A32" s="3" t="s">
        <v>247</v>
      </c>
      <c r="B32" s="3" t="s">
        <v>248</v>
      </c>
      <c r="C32" s="3" t="s">
        <v>449</v>
      </c>
      <c r="D32" s="3" t="s">
        <v>450</v>
      </c>
      <c r="E32" s="3" t="s">
        <v>451</v>
      </c>
      <c r="F32" s="3" t="s">
        <v>429</v>
      </c>
      <c r="G32" s="3" t="s">
        <v>452</v>
      </c>
      <c r="H32" s="3" t="s">
        <v>453</v>
      </c>
      <c r="I32" s="3" t="s">
        <v>454</v>
      </c>
      <c r="J32" s="3" t="s">
        <v>455</v>
      </c>
      <c r="K32" s="3" t="s">
        <v>84</v>
      </c>
      <c r="L32" s="3" t="s">
        <v>299</v>
      </c>
      <c r="M32" s="3" t="s">
        <v>456</v>
      </c>
      <c r="N32" s="3" t="s">
        <v>457</v>
      </c>
      <c r="O32" s="3" t="s">
        <v>458</v>
      </c>
      <c r="P32" s="3" t="s">
        <v>459</v>
      </c>
      <c r="Q32" s="3" t="s">
        <v>460</v>
      </c>
      <c r="R32" s="3" t="s">
        <v>461</v>
      </c>
      <c r="S32" s="3" t="s">
        <v>462</v>
      </c>
      <c r="T32" s="3" t="s">
        <v>463</v>
      </c>
      <c r="U32" s="3" t="s">
        <v>464</v>
      </c>
      <c r="V32" s="3" t="s">
        <v>465</v>
      </c>
      <c r="W32" s="3" t="s">
        <v>466</v>
      </c>
    </row>
    <row r="33" customFormat="false" ht="15" hidden="false" customHeight="false" outlineLevel="0" collapsed="false">
      <c r="A33" s="0" t="s">
        <v>263</v>
      </c>
      <c r="B33" s="8" t="n">
        <v>343</v>
      </c>
      <c r="C33" s="7" t="n">
        <f aca="false">ROUNDUP(B33/Inputs!$B$29,0)</f>
        <v>2</v>
      </c>
      <c r="D33" s="7" t="n">
        <f aca="false">MIN(COUNTIF($D$13:$D$29,"&lt;"&amp;C33)+1,17)</f>
        <v>1</v>
      </c>
      <c r="E33" s="7" t="str">
        <f aca="false">INDEX($B$13:$B$29,D33)</f>
        <v>EN ballroom #1</v>
      </c>
      <c r="F33" s="7" t="n">
        <f aca="false">INDEX($D$13:$D$29,D33)</f>
        <v>8</v>
      </c>
      <c r="G33" s="7" t="n">
        <f aca="false">F33-C33</f>
        <v>6</v>
      </c>
      <c r="H33" s="7" t="str">
        <f aca="false">IF(F33&gt;=C33,"yes","no")</f>
        <v>yes</v>
      </c>
      <c r="I33" s="7" t="n">
        <f aca="false">F33*Inputs!$B$21</f>
        <v>2000</v>
      </c>
      <c r="J33" s="7" t="n">
        <f aca="false">F33*Inputs!$B$22</f>
        <v>2688</v>
      </c>
      <c r="K33" s="7" t="n">
        <f aca="false">ROUNDUP(C33/INT(Inputs!$B$31/Inputs!$B$8),0)</f>
        <v>2</v>
      </c>
      <c r="L33" s="7" t="n">
        <f aca="false">ROUNDUP(C33*Sizing!$B$18/Inputs!$B$35,0)</f>
        <v>13</v>
      </c>
      <c r="M33" s="7" t="n">
        <f aca="false">MAX(1,ROUNDUP(C33*Sizing!$B$13/(Inputs!$B$32*Inputs!$B$35),0))</f>
        <v>1</v>
      </c>
      <c r="N33" s="7" t="n">
        <f aca="false">MAX(1,ROUNDUP(C33*Sizing!$B$14/(Inputs!$B$32*Inputs!$B$35),0))</f>
        <v>1</v>
      </c>
      <c r="O33" s="7" t="n">
        <f aca="false">MAX(1,ROUNDUP(C33*Sizing!$B$15/(Inputs!$B$32*Inputs!$B$35),0))</f>
        <v>1</v>
      </c>
      <c r="P33" s="7" t="n">
        <f aca="false">MAX(1,ROUNDUP(C33*Sizing!$B$17/(Inputs!$B$32*Inputs!$B$35),0))</f>
        <v>1</v>
      </c>
      <c r="Q33" s="7" t="n">
        <f aca="false">ROUNDUP(C33*'Day4'!$C$16/(Inputs!$B$33*Inputs!$B$34*Inputs!$B$35),0)</f>
        <v>3</v>
      </c>
      <c r="R33" s="7" t="n">
        <f aca="false">ROUNDUP(C33*7*Inputs!$B$19,0)</f>
        <v>12</v>
      </c>
      <c r="S33" s="7" t="n">
        <f aca="false">ROUNDUP(C33*5*Inputs!$B$19,0)</f>
        <v>8</v>
      </c>
      <c r="T33" s="7" t="n">
        <f aca="false">ROUNDUP(C33*7*Inputs!$B$17/Inputs!$B$18,0)</f>
        <v>19</v>
      </c>
      <c r="U33" s="7" t="n">
        <f aca="false">ROUNDUP(C33*5*Inputs!$B$17/Inputs!$B$18,0)</f>
        <v>14</v>
      </c>
      <c r="V33" s="0" t="n">
        <v>1</v>
      </c>
      <c r="W33" s="2" t="s">
        <v>467</v>
      </c>
    </row>
    <row r="34" customFormat="false" ht="15" hidden="false" customHeight="false" outlineLevel="0" collapsed="false">
      <c r="A34" s="0" t="s">
        <v>264</v>
      </c>
      <c r="B34" s="8" t="n">
        <v>1000</v>
      </c>
      <c r="C34" s="7" t="n">
        <f aca="false">ROUNDUP(B34/Inputs!$B$29,0)</f>
        <v>4</v>
      </c>
      <c r="D34" s="7" t="n">
        <f aca="false">MIN(COUNTIF($D$13:$D$29,"&lt;"&amp;C34)+1,17)</f>
        <v>1</v>
      </c>
      <c r="E34" s="7" t="str">
        <f aca="false">INDEX($B$13:$B$29,D34)</f>
        <v>EN ballroom #1</v>
      </c>
      <c r="F34" s="7" t="n">
        <f aca="false">INDEX($D$13:$D$29,D34)</f>
        <v>8</v>
      </c>
      <c r="G34" s="7" t="n">
        <f aca="false">F34-C34</f>
        <v>4</v>
      </c>
      <c r="H34" s="7" t="str">
        <f aca="false">IF(F34&gt;=C34,"yes","no")</f>
        <v>yes</v>
      </c>
      <c r="I34" s="7" t="n">
        <f aca="false">F34*Inputs!$B$21</f>
        <v>2000</v>
      </c>
      <c r="J34" s="7" t="n">
        <f aca="false">F34*Inputs!$B$22</f>
        <v>2688</v>
      </c>
      <c r="K34" s="7" t="n">
        <f aca="false">ROUNDUP(C34/INT(Inputs!$B$31/Inputs!$B$8),0)</f>
        <v>4</v>
      </c>
      <c r="L34" s="7" t="n">
        <f aca="false">ROUNDUP(C34*Sizing!$B$18/Inputs!$B$35,0)</f>
        <v>25</v>
      </c>
      <c r="M34" s="7" t="n">
        <f aca="false">MAX(1,ROUNDUP(C34*Sizing!$B$13/(Inputs!$B$32*Inputs!$B$35),0))</f>
        <v>1</v>
      </c>
      <c r="N34" s="7" t="n">
        <f aca="false">MAX(1,ROUNDUP(C34*Sizing!$B$14/(Inputs!$B$32*Inputs!$B$35),0))</f>
        <v>1</v>
      </c>
      <c r="O34" s="7" t="n">
        <f aca="false">MAX(1,ROUNDUP(C34*Sizing!$B$15/(Inputs!$B$32*Inputs!$B$35),0))</f>
        <v>1</v>
      </c>
      <c r="P34" s="7" t="n">
        <f aca="false">MAX(1,ROUNDUP(C34*Sizing!$B$17/(Inputs!$B$32*Inputs!$B$35),0))</f>
        <v>1</v>
      </c>
      <c r="Q34" s="7" t="n">
        <f aca="false">ROUNDUP(C34*'Day4'!$C$16/(Inputs!$B$33*Inputs!$B$34*Inputs!$B$35),0)</f>
        <v>6</v>
      </c>
      <c r="R34" s="7" t="n">
        <f aca="false">ROUNDUP(C34*7*Inputs!$B$19,0)</f>
        <v>23</v>
      </c>
      <c r="S34" s="7" t="n">
        <f aca="false">ROUNDUP(C34*5*Inputs!$B$19,0)</f>
        <v>16</v>
      </c>
      <c r="T34" s="7" t="n">
        <f aca="false">ROUNDUP(C34*7*Inputs!$B$17/Inputs!$B$18,0)</f>
        <v>38</v>
      </c>
      <c r="U34" s="7" t="n">
        <f aca="false">ROUNDUP(C34*5*Inputs!$B$17/Inputs!$B$18,0)</f>
        <v>27</v>
      </c>
      <c r="V34" s="0" t="n">
        <v>2</v>
      </c>
      <c r="W34" s="2" t="s">
        <v>467</v>
      </c>
    </row>
    <row r="35" customFormat="false" ht="15" hidden="false" customHeight="false" outlineLevel="0" collapsed="false">
      <c r="A35" s="0" t="s">
        <v>265</v>
      </c>
      <c r="B35" s="8" t="n">
        <v>2500</v>
      </c>
      <c r="C35" s="7" t="n">
        <f aca="false">ROUNDUP(B35/Inputs!$B$29,0)</f>
        <v>10</v>
      </c>
      <c r="D35" s="7" t="n">
        <f aca="false">MIN(COUNTIF($D$13:$D$29,"&lt;"&amp;C35)+1,17)</f>
        <v>2</v>
      </c>
      <c r="E35" s="7" t="str">
        <f aca="false">INDEX($B$13:$B$29,D35)</f>
        <v>EN expansion #1</v>
      </c>
      <c r="F35" s="7" t="n">
        <f aca="false">INDEX($D$13:$D$29,D35)</f>
        <v>16</v>
      </c>
      <c r="G35" s="7" t="n">
        <f aca="false">F35-C35</f>
        <v>6</v>
      </c>
      <c r="H35" s="7" t="str">
        <f aca="false">IF(F35&gt;=C35,"yes","no")</f>
        <v>yes</v>
      </c>
      <c r="I35" s="7" t="n">
        <f aca="false">F35*Inputs!$B$21</f>
        <v>4000</v>
      </c>
      <c r="J35" s="7" t="n">
        <f aca="false">F35*Inputs!$B$22</f>
        <v>5376</v>
      </c>
      <c r="K35" s="7" t="n">
        <f aca="false">ROUNDUP(C35/INT(Inputs!$B$31/Inputs!$B$8),0)</f>
        <v>10</v>
      </c>
      <c r="L35" s="7" t="n">
        <f aca="false">ROUNDUP(C35*Sizing!$B$18/Inputs!$B$35,0)</f>
        <v>61</v>
      </c>
      <c r="M35" s="7" t="n">
        <f aca="false">MAX(1,ROUNDUP(C35*Sizing!$B$13/(Inputs!$B$32*Inputs!$B$35),0))</f>
        <v>2</v>
      </c>
      <c r="N35" s="7" t="n">
        <f aca="false">MAX(1,ROUNDUP(C35*Sizing!$B$14/(Inputs!$B$32*Inputs!$B$35),0))</f>
        <v>1</v>
      </c>
      <c r="O35" s="7" t="n">
        <f aca="false">MAX(1,ROUNDUP(C35*Sizing!$B$15/(Inputs!$B$32*Inputs!$B$35),0))</f>
        <v>1</v>
      </c>
      <c r="P35" s="7" t="n">
        <f aca="false">MAX(1,ROUNDUP(C35*Sizing!$B$17/(Inputs!$B$32*Inputs!$B$35),0))</f>
        <v>1</v>
      </c>
      <c r="Q35" s="7" t="n">
        <f aca="false">ROUNDUP(C35*'Day4'!$C$16/(Inputs!$B$33*Inputs!$B$34*Inputs!$B$35),0)</f>
        <v>14</v>
      </c>
      <c r="R35" s="7" t="n">
        <f aca="false">ROUNDUP(C35*7*Inputs!$B$19,0)</f>
        <v>56</v>
      </c>
      <c r="S35" s="7" t="n">
        <f aca="false">ROUNDUP(C35*5*Inputs!$B$19,0)</f>
        <v>40</v>
      </c>
      <c r="T35" s="7" t="n">
        <f aca="false">ROUNDUP(C35*7*Inputs!$B$17/Inputs!$B$18,0)</f>
        <v>93</v>
      </c>
      <c r="U35" s="7" t="n">
        <f aca="false">ROUNDUP(C35*5*Inputs!$B$17/Inputs!$B$18,0)</f>
        <v>67</v>
      </c>
      <c r="V35" s="0" t="n">
        <v>6</v>
      </c>
      <c r="W35" s="2" t="s">
        <v>468</v>
      </c>
    </row>
    <row r="36" customFormat="false" ht="15" hidden="false" customHeight="false" outlineLevel="0" collapsed="false">
      <c r="A36" s="0" t="s">
        <v>266</v>
      </c>
      <c r="B36" s="8" t="n">
        <v>5000</v>
      </c>
      <c r="C36" s="7" t="n">
        <f aca="false">ROUNDUP(B36/Inputs!$B$29,0)</f>
        <v>20</v>
      </c>
      <c r="D36" s="7" t="n">
        <f aca="false">MIN(COUNTIF($D$13:$D$29,"&lt;"&amp;C36)+1,17)</f>
        <v>3</v>
      </c>
      <c r="E36" s="7" t="str">
        <f aca="false">INDEX($B$13:$B$29,D36)</f>
        <v>EN expansion #2</v>
      </c>
      <c r="F36" s="7" t="n">
        <f aca="false">INDEX($D$13:$D$29,D36)</f>
        <v>24</v>
      </c>
      <c r="G36" s="7" t="n">
        <f aca="false">F36-C36</f>
        <v>4</v>
      </c>
      <c r="H36" s="7" t="str">
        <f aca="false">IF(F36&gt;=C36,"yes","no")</f>
        <v>yes</v>
      </c>
      <c r="I36" s="7" t="n">
        <f aca="false">F36*Inputs!$B$21</f>
        <v>6000</v>
      </c>
      <c r="J36" s="7" t="n">
        <f aca="false">F36*Inputs!$B$22</f>
        <v>8064</v>
      </c>
      <c r="K36" s="7" t="n">
        <f aca="false">ROUNDUP(C36/INT(Inputs!$B$31/Inputs!$B$8),0)</f>
        <v>20</v>
      </c>
      <c r="L36" s="7" t="n">
        <f aca="false">ROUNDUP(C36*Sizing!$B$18/Inputs!$B$35,0)</f>
        <v>122</v>
      </c>
      <c r="M36" s="7" t="n">
        <f aca="false">MAX(1,ROUNDUP(C36*Sizing!$B$13/(Inputs!$B$32*Inputs!$B$35),0))</f>
        <v>3</v>
      </c>
      <c r="N36" s="7" t="n">
        <f aca="false">MAX(1,ROUNDUP(C36*Sizing!$B$14/(Inputs!$B$32*Inputs!$B$35),0))</f>
        <v>1</v>
      </c>
      <c r="O36" s="7" t="n">
        <f aca="false">MAX(1,ROUNDUP(C36*Sizing!$B$15/(Inputs!$B$32*Inputs!$B$35),0))</f>
        <v>2</v>
      </c>
      <c r="P36" s="7" t="n">
        <f aca="false">MAX(1,ROUNDUP(C36*Sizing!$B$17/(Inputs!$B$32*Inputs!$B$35),0))</f>
        <v>1</v>
      </c>
      <c r="Q36" s="7" t="n">
        <f aca="false">ROUNDUP(C36*'Day4'!$C$16/(Inputs!$B$33*Inputs!$B$34*Inputs!$B$35),0)</f>
        <v>27</v>
      </c>
      <c r="R36" s="7" t="n">
        <f aca="false">ROUNDUP(C36*7*Inputs!$B$19,0)</f>
        <v>112</v>
      </c>
      <c r="S36" s="7" t="n">
        <f aca="false">ROUNDUP(C36*5*Inputs!$B$19,0)</f>
        <v>80</v>
      </c>
      <c r="T36" s="7" t="n">
        <f aca="false">ROUNDUP(C36*7*Inputs!$B$17/Inputs!$B$18,0)</f>
        <v>186</v>
      </c>
      <c r="U36" s="7" t="n">
        <f aca="false">ROUNDUP(C36*5*Inputs!$B$17/Inputs!$B$18,0)</f>
        <v>133</v>
      </c>
      <c r="V36" s="0" t="n">
        <v>12</v>
      </c>
      <c r="W36" s="2" t="s">
        <v>469</v>
      </c>
    </row>
    <row r="37" customFormat="false" ht="15" hidden="false" customHeight="false" outlineLevel="0" collapsed="false">
      <c r="A37" s="0" t="s">
        <v>267</v>
      </c>
      <c r="B37" s="8" t="n">
        <v>7500</v>
      </c>
      <c r="C37" s="7" t="n">
        <f aca="false">ROUNDUP(B37/Inputs!$B$29,0)</f>
        <v>30</v>
      </c>
      <c r="D37" s="7" t="n">
        <f aca="false">MIN(COUNTIF($D$13:$D$29,"&lt;"&amp;C37)+1,17)</f>
        <v>4</v>
      </c>
      <c r="E37" s="7" t="str">
        <f aca="false">INDEX($B$13:$B$29,D37)</f>
        <v>EN expansion #3</v>
      </c>
      <c r="F37" s="7" t="n">
        <f aca="false">INDEX($D$13:$D$29,D37)</f>
        <v>32</v>
      </c>
      <c r="G37" s="7" t="n">
        <f aca="false">F37-C37</f>
        <v>2</v>
      </c>
      <c r="H37" s="7" t="str">
        <f aca="false">IF(F37&gt;=C37,"yes","no")</f>
        <v>yes</v>
      </c>
      <c r="I37" s="7" t="n">
        <f aca="false">F37*Inputs!$B$21</f>
        <v>8000</v>
      </c>
      <c r="J37" s="7" t="n">
        <f aca="false">F37*Inputs!$B$22</f>
        <v>10752</v>
      </c>
      <c r="K37" s="7" t="n">
        <f aca="false">ROUNDUP(C37/INT(Inputs!$B$31/Inputs!$B$8),0)</f>
        <v>30</v>
      </c>
      <c r="L37" s="7" t="n">
        <f aca="false">ROUNDUP(C37*Sizing!$B$18/Inputs!$B$35,0)</f>
        <v>183</v>
      </c>
      <c r="M37" s="7" t="n">
        <f aca="false">MAX(1,ROUNDUP(C37*Sizing!$B$13/(Inputs!$B$32*Inputs!$B$35),0))</f>
        <v>4</v>
      </c>
      <c r="N37" s="7" t="n">
        <f aca="false">MAX(1,ROUNDUP(C37*Sizing!$B$14/(Inputs!$B$32*Inputs!$B$35),0))</f>
        <v>2</v>
      </c>
      <c r="O37" s="7" t="n">
        <f aca="false">MAX(1,ROUNDUP(C37*Sizing!$B$15/(Inputs!$B$32*Inputs!$B$35),0))</f>
        <v>2</v>
      </c>
      <c r="P37" s="7" t="n">
        <f aca="false">MAX(1,ROUNDUP(C37*Sizing!$B$17/(Inputs!$B$32*Inputs!$B$35),0))</f>
        <v>2</v>
      </c>
      <c r="Q37" s="7" t="n">
        <f aca="false">ROUNDUP(C37*'Day4'!$C$16/(Inputs!$B$33*Inputs!$B$34*Inputs!$B$35),0)</f>
        <v>40</v>
      </c>
      <c r="R37" s="7" t="n">
        <f aca="false">ROUNDUP(C37*7*Inputs!$B$19,0)</f>
        <v>168</v>
      </c>
      <c r="S37" s="7" t="n">
        <f aca="false">ROUNDUP(C37*5*Inputs!$B$19,0)</f>
        <v>120</v>
      </c>
      <c r="T37" s="7" t="n">
        <f aca="false">ROUNDUP(C37*7*Inputs!$B$17/Inputs!$B$18,0)</f>
        <v>279</v>
      </c>
      <c r="U37" s="7" t="n">
        <f aca="false">ROUNDUP(C37*5*Inputs!$B$17/Inputs!$B$18,0)</f>
        <v>199</v>
      </c>
      <c r="V37" s="0" t="n">
        <v>18</v>
      </c>
      <c r="W37" s="2" t="s">
        <v>470</v>
      </c>
    </row>
    <row r="38" customFormat="false" ht="15" hidden="false" customHeight="false" outlineLevel="0" collapsed="false">
      <c r="A38" s="0" t="s">
        <v>268</v>
      </c>
      <c r="B38" s="8" t="n">
        <v>9600</v>
      </c>
      <c r="C38" s="7" t="n">
        <f aca="false">ROUNDUP(B38/Inputs!$B$29,0)</f>
        <v>39</v>
      </c>
      <c r="D38" s="7" t="n">
        <f aca="false">MIN(COUNTIF($D$13:$D$29,"&lt;"&amp;C38)+1,17)</f>
        <v>5</v>
      </c>
      <c r="E38" s="7" t="str">
        <f aca="false">INDEX($B$13:$B$29,D38)</f>
        <v>EN expansion #4</v>
      </c>
      <c r="F38" s="7" t="n">
        <f aca="false">INDEX($D$13:$D$29,D38)</f>
        <v>40</v>
      </c>
      <c r="G38" s="7" t="n">
        <f aca="false">F38-C38</f>
        <v>1</v>
      </c>
      <c r="H38" s="7" t="str">
        <f aca="false">IF(F38&gt;=C38,"yes","no")</f>
        <v>yes</v>
      </c>
      <c r="I38" s="7" t="n">
        <f aca="false">F38*Inputs!$B$21</f>
        <v>10000</v>
      </c>
      <c r="J38" s="7" t="n">
        <f aca="false">F38*Inputs!$B$22</f>
        <v>13440</v>
      </c>
      <c r="K38" s="7" t="n">
        <f aca="false">ROUNDUP(C38/INT(Inputs!$B$31/Inputs!$B$8),0)</f>
        <v>39</v>
      </c>
      <c r="L38" s="7" t="n">
        <f aca="false">ROUNDUP(C38*Sizing!$B$18/Inputs!$B$35,0)</f>
        <v>238</v>
      </c>
      <c r="M38" s="7" t="n">
        <f aca="false">MAX(1,ROUNDUP(C38*Sizing!$B$13/(Inputs!$B$32*Inputs!$B$35),0))</f>
        <v>5</v>
      </c>
      <c r="N38" s="7" t="n">
        <f aca="false">MAX(1,ROUNDUP(C38*Sizing!$B$14/(Inputs!$B$32*Inputs!$B$35),0))</f>
        <v>2</v>
      </c>
      <c r="O38" s="7" t="n">
        <f aca="false">MAX(1,ROUNDUP(C38*Sizing!$B$15/(Inputs!$B$32*Inputs!$B$35),0))</f>
        <v>3</v>
      </c>
      <c r="P38" s="7" t="n">
        <f aca="false">MAX(1,ROUNDUP(C38*Sizing!$B$17/(Inputs!$B$32*Inputs!$B$35),0))</f>
        <v>2</v>
      </c>
      <c r="Q38" s="7" t="n">
        <f aca="false">ROUNDUP(C38*'Day4'!$C$16/(Inputs!$B$33*Inputs!$B$34*Inputs!$B$35),0)</f>
        <v>52</v>
      </c>
      <c r="R38" s="7" t="n">
        <f aca="false">ROUNDUP(C38*7*Inputs!$B$19,0)</f>
        <v>219</v>
      </c>
      <c r="S38" s="7" t="n">
        <f aca="false">ROUNDUP(C38*5*Inputs!$B$19,0)</f>
        <v>156</v>
      </c>
      <c r="T38" s="7" t="n">
        <f aca="false">ROUNDUP(C38*7*Inputs!$B$17/Inputs!$B$18,0)</f>
        <v>362</v>
      </c>
      <c r="U38" s="7" t="n">
        <f aca="false">ROUNDUP(C38*5*Inputs!$B$17/Inputs!$B$18,0)</f>
        <v>259</v>
      </c>
      <c r="V38" s="0" t="n">
        <v>24</v>
      </c>
      <c r="W38" s="2" t="s">
        <v>471</v>
      </c>
    </row>
    <row r="39" customFormat="false" ht="15" hidden="false" customHeight="false" outlineLevel="0" collapsed="false">
      <c r="A39" s="0" t="s">
        <v>269</v>
      </c>
      <c r="B39" s="8" t="n">
        <v>10000</v>
      </c>
      <c r="C39" s="7" t="n">
        <f aca="false">ROUNDUP(B39/Inputs!$B$29,0)</f>
        <v>40</v>
      </c>
      <c r="D39" s="7" t="n">
        <f aca="false">MIN(COUNTIF($D$13:$D$29,"&lt;"&amp;C39)+1,17)</f>
        <v>5</v>
      </c>
      <c r="E39" s="7" t="str">
        <f aca="false">INDEX($B$13:$B$29,D39)</f>
        <v>EN expansion #4</v>
      </c>
      <c r="F39" s="7" t="n">
        <f aca="false">INDEX($D$13:$D$29,D39)</f>
        <v>40</v>
      </c>
      <c r="G39" s="7" t="n">
        <f aca="false">F39-C39</f>
        <v>0</v>
      </c>
      <c r="H39" s="7" t="str">
        <f aca="false">IF(F39&gt;=C39,"yes","no")</f>
        <v>yes</v>
      </c>
      <c r="I39" s="7" t="n">
        <f aca="false">F39*Inputs!$B$21</f>
        <v>10000</v>
      </c>
      <c r="J39" s="7" t="n">
        <f aca="false">F39*Inputs!$B$22</f>
        <v>13440</v>
      </c>
      <c r="K39" s="7" t="n">
        <f aca="false">ROUNDUP(C39/INT(Inputs!$B$31/Inputs!$B$8),0)</f>
        <v>40</v>
      </c>
      <c r="L39" s="7" t="n">
        <f aca="false">ROUNDUP(C39*Sizing!$B$18/Inputs!$B$35,0)</f>
        <v>244</v>
      </c>
      <c r="M39" s="7" t="n">
        <f aca="false">MAX(1,ROUNDUP(C39*Sizing!$B$13/(Inputs!$B$32*Inputs!$B$35),0))</f>
        <v>5</v>
      </c>
      <c r="N39" s="7" t="n">
        <f aca="false">MAX(1,ROUNDUP(C39*Sizing!$B$14/(Inputs!$B$32*Inputs!$B$35),0))</f>
        <v>2</v>
      </c>
      <c r="O39" s="7" t="n">
        <f aca="false">MAX(1,ROUNDUP(C39*Sizing!$B$15/(Inputs!$B$32*Inputs!$B$35),0))</f>
        <v>3</v>
      </c>
      <c r="P39" s="7" t="n">
        <f aca="false">MAX(1,ROUNDUP(C39*Sizing!$B$17/(Inputs!$B$32*Inputs!$B$35),0))</f>
        <v>2</v>
      </c>
      <c r="Q39" s="7" t="n">
        <f aca="false">ROUNDUP(C39*'Day4'!$C$16/(Inputs!$B$33*Inputs!$B$34*Inputs!$B$35),0)</f>
        <v>54</v>
      </c>
      <c r="R39" s="7" t="n">
        <f aca="false">ROUNDUP(C39*7*Inputs!$B$19,0)</f>
        <v>224</v>
      </c>
      <c r="S39" s="7" t="n">
        <f aca="false">ROUNDUP(C39*5*Inputs!$B$19,0)</f>
        <v>160</v>
      </c>
      <c r="T39" s="7" t="n">
        <f aca="false">ROUNDUP(C39*7*Inputs!$B$17/Inputs!$B$18,0)</f>
        <v>371</v>
      </c>
      <c r="U39" s="7" t="n">
        <f aca="false">ROUNDUP(C39*5*Inputs!$B$17/Inputs!$B$18,0)</f>
        <v>265</v>
      </c>
      <c r="V39" s="0" t="n">
        <v>26</v>
      </c>
      <c r="W39" s="2" t="s">
        <v>471</v>
      </c>
    </row>
    <row r="41" customFormat="false" ht="15" hidden="false" customHeight="false" outlineLevel="0" collapsed="false">
      <c r="A41" s="4" t="s">
        <v>472</v>
      </c>
    </row>
    <row r="42" customFormat="false" ht="29.85" hidden="false" customHeight="false" outlineLevel="0" collapsed="false">
      <c r="A42" s="3" t="s">
        <v>247</v>
      </c>
      <c r="B42" s="3" t="s">
        <v>473</v>
      </c>
      <c r="C42" s="3" t="s">
        <v>449</v>
      </c>
      <c r="D42" s="3" t="s">
        <v>474</v>
      </c>
      <c r="E42" s="3" t="s">
        <v>429</v>
      </c>
      <c r="F42" s="3" t="s">
        <v>475</v>
      </c>
      <c r="G42" s="3" t="s">
        <v>453</v>
      </c>
      <c r="H42" s="3" t="s">
        <v>84</v>
      </c>
      <c r="I42" s="3" t="s">
        <v>299</v>
      </c>
      <c r="J42" s="3" t="s">
        <v>152</v>
      </c>
      <c r="K42" s="3" t="s">
        <v>476</v>
      </c>
      <c r="L42" s="3" t="s">
        <v>477</v>
      </c>
      <c r="M42" s="3" t="s">
        <v>478</v>
      </c>
    </row>
    <row r="43" customFormat="false" ht="15" hidden="false" customHeight="false" outlineLevel="0" collapsed="false">
      <c r="A43" s="0" t="s">
        <v>263</v>
      </c>
      <c r="B43" s="0" t="n">
        <v>343</v>
      </c>
      <c r="C43" s="0" t="n">
        <v>2</v>
      </c>
      <c r="D43" s="0" t="s">
        <v>479</v>
      </c>
      <c r="E43" s="0" t="n">
        <v>2</v>
      </c>
      <c r="F43" s="0" t="n">
        <v>0</v>
      </c>
      <c r="G43" s="0" t="s">
        <v>297</v>
      </c>
      <c r="H43" s="0" t="n">
        <v>2</v>
      </c>
      <c r="I43" s="0" t="n">
        <v>13</v>
      </c>
      <c r="J43" s="0" t="n">
        <v>1</v>
      </c>
      <c r="K43" s="0" t="n">
        <v>5</v>
      </c>
      <c r="L43" s="0" t="s">
        <v>480</v>
      </c>
      <c r="M43" s="0" t="s">
        <v>481</v>
      </c>
    </row>
    <row r="44" customFormat="false" ht="15" hidden="false" customHeight="false" outlineLevel="0" collapsed="false">
      <c r="A44" s="0" t="s">
        <v>264</v>
      </c>
      <c r="B44" s="0" t="n">
        <v>1000</v>
      </c>
      <c r="C44" s="0" t="n">
        <v>4</v>
      </c>
      <c r="D44" s="0" t="s">
        <v>482</v>
      </c>
      <c r="E44" s="0" t="n">
        <v>7</v>
      </c>
      <c r="F44" s="0" t="n">
        <v>3</v>
      </c>
      <c r="G44" s="0" t="s">
        <v>297</v>
      </c>
      <c r="H44" s="0" t="n">
        <v>4</v>
      </c>
      <c r="I44" s="0" t="n">
        <v>25</v>
      </c>
      <c r="J44" s="0" t="n">
        <v>2</v>
      </c>
      <c r="K44" s="0" t="n">
        <v>10</v>
      </c>
      <c r="L44" s="0" t="s">
        <v>483</v>
      </c>
      <c r="M44" s="0" t="s">
        <v>484</v>
      </c>
    </row>
    <row r="45" customFormat="false" ht="15" hidden="false" customHeight="false" outlineLevel="0" collapsed="false">
      <c r="A45" s="0" t="s">
        <v>265</v>
      </c>
      <c r="B45" s="0" t="n">
        <v>2500</v>
      </c>
      <c r="C45" s="0" t="n">
        <v>10</v>
      </c>
      <c r="D45" s="0" t="s">
        <v>485</v>
      </c>
      <c r="E45" s="0" t="n">
        <v>17</v>
      </c>
      <c r="F45" s="0" t="n">
        <v>7</v>
      </c>
      <c r="G45" s="0" t="s">
        <v>297</v>
      </c>
      <c r="H45" s="0" t="n">
        <v>10</v>
      </c>
      <c r="I45" s="0" t="n">
        <v>61</v>
      </c>
      <c r="J45" s="0" t="n">
        <v>6</v>
      </c>
      <c r="K45" s="0" t="n">
        <v>31</v>
      </c>
      <c r="L45" s="0" t="s">
        <v>486</v>
      </c>
      <c r="M45" s="0" t="s">
        <v>487</v>
      </c>
    </row>
    <row r="46" customFormat="false" ht="15" hidden="false" customHeight="false" outlineLevel="0" collapsed="false">
      <c r="A46" s="0" t="s">
        <v>266</v>
      </c>
      <c r="B46" s="0" t="n">
        <v>5000</v>
      </c>
      <c r="C46" s="0" t="n">
        <v>20</v>
      </c>
      <c r="D46" s="0" t="s">
        <v>488</v>
      </c>
      <c r="E46" s="0" t="n">
        <v>27</v>
      </c>
      <c r="F46" s="0" t="n">
        <v>7</v>
      </c>
      <c r="G46" s="0" t="s">
        <v>297</v>
      </c>
      <c r="H46" s="0" t="n">
        <v>20</v>
      </c>
      <c r="I46" s="0" t="n">
        <v>122</v>
      </c>
      <c r="J46" s="0" t="n">
        <v>12</v>
      </c>
      <c r="K46" s="0" t="n">
        <v>61</v>
      </c>
      <c r="L46" s="0" t="s">
        <v>489</v>
      </c>
      <c r="M46" s="0" t="s">
        <v>490</v>
      </c>
    </row>
    <row r="47" customFormat="false" ht="15" hidden="false" customHeight="false" outlineLevel="0" collapsed="false">
      <c r="A47" s="0" t="s">
        <v>267</v>
      </c>
      <c r="B47" s="0" t="n">
        <v>7500</v>
      </c>
      <c r="C47" s="0" t="n">
        <v>30</v>
      </c>
      <c r="D47" s="0" t="s">
        <v>491</v>
      </c>
      <c r="E47" s="0" t="n">
        <v>37</v>
      </c>
      <c r="F47" s="0" t="n">
        <v>7</v>
      </c>
      <c r="G47" s="0" t="s">
        <v>297</v>
      </c>
      <c r="H47" s="0" t="n">
        <v>30</v>
      </c>
      <c r="I47" s="0" t="n">
        <v>183</v>
      </c>
      <c r="J47" s="0" t="n">
        <v>18</v>
      </c>
      <c r="K47" s="0" t="n">
        <v>92</v>
      </c>
      <c r="L47" s="0" t="s">
        <v>492</v>
      </c>
      <c r="M47" s="0" t="s">
        <v>493</v>
      </c>
    </row>
    <row r="48" customFormat="false" ht="15" hidden="false" customHeight="false" outlineLevel="0" collapsed="false">
      <c r="A48" s="0" t="s">
        <v>268</v>
      </c>
      <c r="B48" s="0" t="n">
        <v>9600</v>
      </c>
      <c r="C48" s="0" t="n">
        <v>39</v>
      </c>
      <c r="D48" s="0" t="s">
        <v>494</v>
      </c>
      <c r="E48" s="0" t="n">
        <v>47</v>
      </c>
      <c r="F48" s="0" t="n">
        <v>8</v>
      </c>
      <c r="G48" s="0" t="s">
        <v>297</v>
      </c>
      <c r="H48" s="0" t="n">
        <v>39</v>
      </c>
      <c r="I48" s="0" t="n">
        <v>238</v>
      </c>
      <c r="J48" s="0" t="n">
        <v>24</v>
      </c>
      <c r="K48" s="0" t="n">
        <v>117</v>
      </c>
      <c r="L48" s="0" t="s">
        <v>495</v>
      </c>
      <c r="M48" s="0" t="s">
        <v>496</v>
      </c>
    </row>
    <row r="49" customFormat="false" ht="15" hidden="false" customHeight="false" outlineLevel="0" collapsed="false">
      <c r="A49" s="0" t="s">
        <v>269</v>
      </c>
      <c r="B49" s="0" t="n">
        <v>10000</v>
      </c>
      <c r="C49" s="0" t="n">
        <v>40</v>
      </c>
      <c r="D49" s="0" t="s">
        <v>494</v>
      </c>
      <c r="E49" s="0" t="n">
        <v>47</v>
      </c>
      <c r="F49" s="0" t="n">
        <v>7</v>
      </c>
      <c r="G49" s="0" t="s">
        <v>297</v>
      </c>
      <c r="H49" s="0" t="n">
        <v>40</v>
      </c>
      <c r="I49" s="0" t="n">
        <v>244</v>
      </c>
      <c r="J49" s="0" t="n">
        <v>26</v>
      </c>
      <c r="K49" s="0" t="n">
        <v>120</v>
      </c>
      <c r="L49" s="0" t="s">
        <v>497</v>
      </c>
      <c r="M49" s="0" t="s">
        <v>498</v>
      </c>
    </row>
    <row r="51" customFormat="false" ht="15" hidden="false" customHeight="false" outlineLevel="0" collapsed="false">
      <c r="A51" s="2" t="s">
        <v>499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LibreOffice/26.2.3.2$MacOSX_AARCH64 LibreOffice_project/70e089b17412e4cb7773e41413306b17a2328c34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2026-09-27T01:34:26Z</dcterms:created>
  <dc:creator>openpyxl</dc:creator>
  <dc:description/>
  <dc:language>en-US</dc:language>
  <cp:lastModifiedBy/>
  <dcterms:modified xsi:type="dcterms:W3CDTF">2026-09-27T01:34:26Z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